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файлы\feierverk-master.ru\13.11.2024\task_files_1820674\"/>
    </mc:Choice>
  </mc:AlternateContent>
  <xr:revisionPtr revIDLastSave="0" documentId="8_{6164B4FD-DDAD-41EB-958B-964A20EE0142}" xr6:coauthVersionLast="47" xr6:coauthVersionMax="47" xr10:uidLastSave="{00000000-0000-0000-0000-000000000000}"/>
  <bookViews>
    <workbookView xWindow="-28920" yWindow="-120" windowWidth="29040" windowHeight="16440"/>
  </bookViews>
  <sheets>
    <sheet name="Лист1" sheetId="1" r:id="rId1"/>
  </sheets>
  <definedNames>
    <definedName name="_xlnm._FilterDatabase" localSheetId="0" hidden="1">Лист1!$A$11:$P$361</definedName>
  </definedNames>
  <calcPr calcId="181029"/>
</workbook>
</file>

<file path=xl/calcChain.xml><?xml version="1.0" encoding="utf-8"?>
<calcChain xmlns="http://schemas.openxmlformats.org/spreadsheetml/2006/main">
  <c r="H329" i="1" l="1"/>
  <c r="R329" i="1" s="1"/>
  <c r="H275" i="1"/>
  <c r="R275" i="1"/>
  <c r="H125" i="1"/>
  <c r="R125" i="1"/>
  <c r="H281" i="1"/>
  <c r="F281" i="1"/>
  <c r="Q281" i="1" s="1"/>
  <c r="T281" i="1" s="1"/>
  <c r="L71" i="1"/>
  <c r="K71" i="1"/>
  <c r="H71" i="1"/>
  <c r="F71" i="1"/>
  <c r="L160" i="1"/>
  <c r="K160" i="1"/>
  <c r="H160" i="1"/>
  <c r="F160" i="1" s="1"/>
  <c r="Q160" i="1" s="1"/>
  <c r="T160" i="1" s="1"/>
  <c r="H283" i="1"/>
  <c r="F283" i="1"/>
  <c r="Q283" i="1"/>
  <c r="T283" i="1" s="1"/>
  <c r="H282" i="1"/>
  <c r="F282" i="1" s="1"/>
  <c r="Q282" i="1" s="1"/>
  <c r="T282" i="1" s="1"/>
  <c r="F267" i="1"/>
  <c r="R234" i="1"/>
  <c r="Q234" i="1"/>
  <c r="T234" i="1" s="1"/>
  <c r="L234" i="1"/>
  <c r="K234" i="1"/>
  <c r="L225" i="1"/>
  <c r="K225" i="1"/>
  <c r="H225" i="1"/>
  <c r="F225" i="1" s="1"/>
  <c r="Q225" i="1" s="1"/>
  <c r="T225" i="1" s="1"/>
  <c r="L316" i="1"/>
  <c r="K316" i="1"/>
  <c r="F351" i="1"/>
  <c r="Q351" i="1"/>
  <c r="T351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4" i="1"/>
  <c r="K324" i="1"/>
  <c r="L323" i="1"/>
  <c r="K323" i="1"/>
  <c r="L322" i="1"/>
  <c r="K322" i="1"/>
  <c r="L321" i="1"/>
  <c r="K321" i="1"/>
  <c r="L320" i="1"/>
  <c r="K320" i="1"/>
  <c r="L318" i="1"/>
  <c r="K318" i="1"/>
  <c r="L317" i="1"/>
  <c r="K317" i="1"/>
  <c r="L315" i="1"/>
  <c r="K315" i="1"/>
  <c r="L313" i="1"/>
  <c r="K313" i="1"/>
  <c r="L312" i="1"/>
  <c r="K312" i="1"/>
  <c r="L311" i="1"/>
  <c r="K311" i="1"/>
  <c r="L310" i="1"/>
  <c r="K310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59" i="1"/>
  <c r="K259" i="1"/>
  <c r="L258" i="1"/>
  <c r="K258" i="1"/>
  <c r="L257" i="1"/>
  <c r="K257" i="1"/>
  <c r="L256" i="1"/>
  <c r="K256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5" i="1"/>
  <c r="K235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3" i="1"/>
  <c r="K13" i="1"/>
  <c r="L14" i="1"/>
  <c r="K14" i="1"/>
  <c r="R357" i="1"/>
  <c r="R356" i="1"/>
  <c r="H355" i="1"/>
  <c r="F355" i="1"/>
  <c r="Q355" i="1" s="1"/>
  <c r="T355" i="1" s="1"/>
  <c r="F354" i="1"/>
  <c r="H353" i="1"/>
  <c r="F353" i="1" s="1"/>
  <c r="Q353" i="1" s="1"/>
  <c r="T353" i="1" s="1"/>
  <c r="H352" i="1"/>
  <c r="R352" i="1" s="1"/>
  <c r="H350" i="1"/>
  <c r="R350" i="1" s="1"/>
  <c r="H349" i="1"/>
  <c r="R349" i="1" s="1"/>
  <c r="R348" i="1"/>
  <c r="F347" i="1"/>
  <c r="Q347" i="1"/>
  <c r="T347" i="1" s="1"/>
  <c r="R346" i="1"/>
  <c r="F345" i="1"/>
  <c r="Q345" i="1" s="1"/>
  <c r="T345" i="1" s="1"/>
  <c r="F344" i="1"/>
  <c r="R343" i="1"/>
  <c r="R342" i="1"/>
  <c r="R341" i="1"/>
  <c r="H340" i="1"/>
  <c r="R340" i="1" s="1"/>
  <c r="F340" i="1"/>
  <c r="Q340" i="1" s="1"/>
  <c r="T340" i="1" s="1"/>
  <c r="H339" i="1"/>
  <c r="F339" i="1"/>
  <c r="Q339" i="1"/>
  <c r="T339" i="1" s="1"/>
  <c r="H338" i="1"/>
  <c r="R338" i="1" s="1"/>
  <c r="F338" i="1"/>
  <c r="Q338" i="1" s="1"/>
  <c r="T338" i="1" s="1"/>
  <c r="H337" i="1"/>
  <c r="R337" i="1"/>
  <c r="H336" i="1"/>
  <c r="R336" i="1" s="1"/>
  <c r="H335" i="1"/>
  <c r="R335" i="1" s="1"/>
  <c r="H334" i="1"/>
  <c r="R334" i="1"/>
  <c r="H333" i="1"/>
  <c r="F333" i="1" s="1"/>
  <c r="Q333" i="1" s="1"/>
  <c r="T333" i="1" s="1"/>
  <c r="H332" i="1"/>
  <c r="F332" i="1" s="1"/>
  <c r="Q332" i="1" s="1"/>
  <c r="T332" i="1" s="1"/>
  <c r="H331" i="1"/>
  <c r="R331" i="1" s="1"/>
  <c r="H330" i="1"/>
  <c r="Q329" i="1"/>
  <c r="T329" i="1" s="1"/>
  <c r="F328" i="1"/>
  <c r="Q328" i="1"/>
  <c r="T328" i="1"/>
  <c r="H327" i="1"/>
  <c r="H326" i="1"/>
  <c r="R326" i="1"/>
  <c r="F324" i="1"/>
  <c r="Q324" i="1" s="1"/>
  <c r="T324" i="1" s="1"/>
  <c r="R323" i="1"/>
  <c r="R322" i="1"/>
  <c r="F321" i="1"/>
  <c r="Q321" i="1" s="1"/>
  <c r="T321" i="1" s="1"/>
  <c r="F320" i="1"/>
  <c r="Q320" i="1" s="1"/>
  <c r="T320" i="1" s="1"/>
  <c r="H318" i="1"/>
  <c r="F318" i="1"/>
  <c r="Q318" i="1"/>
  <c r="T318" i="1" s="1"/>
  <c r="H317" i="1"/>
  <c r="F317" i="1" s="1"/>
  <c r="Q317" i="1" s="1"/>
  <c r="T317" i="1" s="1"/>
  <c r="H316" i="1"/>
  <c r="F316" i="1"/>
  <c r="Q316" i="1"/>
  <c r="T316" i="1" s="1"/>
  <c r="H315" i="1"/>
  <c r="F315" i="1" s="1"/>
  <c r="Q315" i="1" s="1"/>
  <c r="T315" i="1" s="1"/>
  <c r="H313" i="1"/>
  <c r="F313" i="1"/>
  <c r="Q313" i="1"/>
  <c r="T313" i="1" s="1"/>
  <c r="H312" i="1"/>
  <c r="R312" i="1" s="1"/>
  <c r="H311" i="1"/>
  <c r="F311" i="1" s="1"/>
  <c r="Q311" i="1" s="1"/>
  <c r="T311" i="1" s="1"/>
  <c r="H310" i="1"/>
  <c r="R310" i="1" s="1"/>
  <c r="H308" i="1"/>
  <c r="R308" i="1" s="1"/>
  <c r="H307" i="1"/>
  <c r="R307" i="1" s="1"/>
  <c r="H306" i="1"/>
  <c r="R306" i="1"/>
  <c r="F304" i="1"/>
  <c r="F303" i="1"/>
  <c r="Q303" i="1"/>
  <c r="T303" i="1" s="1"/>
  <c r="H302" i="1"/>
  <c r="F302" i="1" s="1"/>
  <c r="Q302" i="1" s="1"/>
  <c r="T302" i="1" s="1"/>
  <c r="H301" i="1"/>
  <c r="F301" i="1" s="1"/>
  <c r="Q301" i="1" s="1"/>
  <c r="T301" i="1" s="1"/>
  <c r="H300" i="1"/>
  <c r="F300" i="1" s="1"/>
  <c r="Q300" i="1" s="1"/>
  <c r="T300" i="1" s="1"/>
  <c r="H299" i="1"/>
  <c r="H298" i="1"/>
  <c r="F298" i="1"/>
  <c r="Q298" i="1" s="1"/>
  <c r="T298" i="1" s="1"/>
  <c r="F297" i="1"/>
  <c r="Q297" i="1"/>
  <c r="T297" i="1"/>
  <c r="R296" i="1"/>
  <c r="H295" i="1"/>
  <c r="F295" i="1"/>
  <c r="Q295" i="1" s="1"/>
  <c r="H294" i="1"/>
  <c r="H292" i="1"/>
  <c r="F292" i="1"/>
  <c r="Q292" i="1"/>
  <c r="T292" i="1"/>
  <c r="H291" i="1"/>
  <c r="R291" i="1"/>
  <c r="H290" i="1"/>
  <c r="F290" i="1" s="1"/>
  <c r="Q290" i="1" s="1"/>
  <c r="T290" i="1" s="1"/>
  <c r="H289" i="1"/>
  <c r="R288" i="1"/>
  <c r="H287" i="1"/>
  <c r="F287" i="1"/>
  <c r="Q287" i="1" s="1"/>
  <c r="T287" i="1" s="1"/>
  <c r="H286" i="1"/>
  <c r="R286" i="1"/>
  <c r="H285" i="1"/>
  <c r="R285" i="1"/>
  <c r="R283" i="1"/>
  <c r="R282" i="1"/>
  <c r="R281" i="1"/>
  <c r="H280" i="1"/>
  <c r="H279" i="1"/>
  <c r="R279" i="1"/>
  <c r="F278" i="1"/>
  <c r="Q278" i="1"/>
  <c r="T278" i="1" s="1"/>
  <c r="H277" i="1"/>
  <c r="R277" i="1" s="1"/>
  <c r="H276" i="1"/>
  <c r="R276" i="1" s="1"/>
  <c r="Q275" i="1"/>
  <c r="T275" i="1"/>
  <c r="Q273" i="1"/>
  <c r="T273" i="1" s="1"/>
  <c r="R272" i="1"/>
  <c r="H271" i="1"/>
  <c r="R271" i="1" s="1"/>
  <c r="H270" i="1"/>
  <c r="R270" i="1"/>
  <c r="H269" i="1"/>
  <c r="F269" i="1"/>
  <c r="Q269" i="1" s="1"/>
  <c r="T269" i="1"/>
  <c r="F268" i="1"/>
  <c r="Q268" i="1" s="1"/>
  <c r="T268" i="1" s="1"/>
  <c r="R266" i="1"/>
  <c r="R265" i="1"/>
  <c r="F264" i="1"/>
  <c r="Q264" i="1" s="1"/>
  <c r="T264" i="1" s="1"/>
  <c r="R263" i="1"/>
  <c r="R262" i="1"/>
  <c r="F261" i="1"/>
  <c r="Q261" i="1" s="1"/>
  <c r="T261" i="1" s="1"/>
  <c r="H259" i="1"/>
  <c r="F258" i="1"/>
  <c r="Q258" i="1"/>
  <c r="T258" i="1"/>
  <c r="H257" i="1"/>
  <c r="H256" i="1"/>
  <c r="F256" i="1" s="1"/>
  <c r="Q256" i="1" s="1"/>
  <c r="T256" i="1" s="1"/>
  <c r="R253" i="1"/>
  <c r="H252" i="1"/>
  <c r="R251" i="1"/>
  <c r="H250" i="1"/>
  <c r="R250" i="1"/>
  <c r="H249" i="1"/>
  <c r="H248" i="1"/>
  <c r="F248" i="1"/>
  <c r="Q248" i="1" s="1"/>
  <c r="T248" i="1" s="1"/>
  <c r="H247" i="1"/>
  <c r="H246" i="1"/>
  <c r="F245" i="1"/>
  <c r="Q245" i="1"/>
  <c r="T245" i="1"/>
  <c r="H244" i="1"/>
  <c r="F244" i="1"/>
  <c r="Q244" i="1" s="1"/>
  <c r="T244" i="1" s="1"/>
  <c r="H243" i="1"/>
  <c r="F243" i="1"/>
  <c r="Q243" i="1"/>
  <c r="T243" i="1"/>
  <c r="H242" i="1"/>
  <c r="F242" i="1"/>
  <c r="Q242" i="1"/>
  <c r="T242" i="1" s="1"/>
  <c r="H241" i="1"/>
  <c r="R241" i="1"/>
  <c r="R240" i="1"/>
  <c r="F239" i="1"/>
  <c r="Q239" i="1" s="1"/>
  <c r="T239" i="1" s="1"/>
  <c r="F238" i="1"/>
  <c r="Q238" i="1" s="1"/>
  <c r="T238" i="1" s="1"/>
  <c r="F237" i="1"/>
  <c r="Q237" i="1" s="1"/>
  <c r="T237" i="1" s="1"/>
  <c r="R235" i="1"/>
  <c r="F233" i="1"/>
  <c r="Q233" i="1" s="1"/>
  <c r="T233" i="1"/>
  <c r="H232" i="1"/>
  <c r="H231" i="1"/>
  <c r="F231" i="1"/>
  <c r="Q231" i="1"/>
  <c r="T231" i="1"/>
  <c r="F230" i="1"/>
  <c r="H229" i="1"/>
  <c r="F229" i="1" s="1"/>
  <c r="R229" i="1"/>
  <c r="R228" i="1"/>
  <c r="H227" i="1"/>
  <c r="R226" i="1"/>
  <c r="H224" i="1"/>
  <c r="F224" i="1"/>
  <c r="Q224" i="1" s="1"/>
  <c r="T224" i="1"/>
  <c r="H223" i="1"/>
  <c r="H222" i="1"/>
  <c r="R222" i="1" s="1"/>
  <c r="H221" i="1"/>
  <c r="R221" i="1"/>
  <c r="H220" i="1"/>
  <c r="R220" i="1" s="1"/>
  <c r="R219" i="1"/>
  <c r="H218" i="1"/>
  <c r="F218" i="1" s="1"/>
  <c r="Q218" i="1" s="1"/>
  <c r="T218" i="1" s="1"/>
  <c r="F217" i="1"/>
  <c r="Q217" i="1"/>
  <c r="T217" i="1" s="1"/>
  <c r="H216" i="1"/>
  <c r="F216" i="1" s="1"/>
  <c r="Q216" i="1" s="1"/>
  <c r="T216" i="1" s="1"/>
  <c r="R216" i="1"/>
  <c r="H215" i="1"/>
  <c r="R215" i="1" s="1"/>
  <c r="R214" i="1"/>
  <c r="H213" i="1"/>
  <c r="H212" i="1"/>
  <c r="F212" i="1" s="1"/>
  <c r="Q212" i="1"/>
  <c r="T212" i="1" s="1"/>
  <c r="H211" i="1"/>
  <c r="H210" i="1"/>
  <c r="R210" i="1"/>
  <c r="F209" i="1"/>
  <c r="Q209" i="1"/>
  <c r="T209" i="1" s="1"/>
  <c r="H208" i="1"/>
  <c r="R208" i="1" s="1"/>
  <c r="F208" i="1"/>
  <c r="Q208" i="1" s="1"/>
  <c r="T208" i="1" s="1"/>
  <c r="H207" i="1"/>
  <c r="R207" i="1"/>
  <c r="H206" i="1"/>
  <c r="H205" i="1"/>
  <c r="F205" i="1"/>
  <c r="Q205" i="1"/>
  <c r="T205" i="1" s="1"/>
  <c r="H204" i="1"/>
  <c r="R204" i="1"/>
  <c r="H203" i="1"/>
  <c r="F203" i="1"/>
  <c r="Q203" i="1" s="1"/>
  <c r="T203" i="1"/>
  <c r="R202" i="1"/>
  <c r="H201" i="1"/>
  <c r="F201" i="1" s="1"/>
  <c r="Q201" i="1" s="1"/>
  <c r="T201" i="1" s="1"/>
  <c r="H200" i="1"/>
  <c r="R200" i="1" s="1"/>
  <c r="H199" i="1"/>
  <c r="F199" i="1"/>
  <c r="Q199" i="1" s="1"/>
  <c r="T199" i="1" s="1"/>
  <c r="H198" i="1"/>
  <c r="F198" i="1"/>
  <c r="Q198" i="1"/>
  <c r="T198" i="1" s="1"/>
  <c r="H197" i="1"/>
  <c r="F197" i="1" s="1"/>
  <c r="Q197" i="1" s="1"/>
  <c r="T197" i="1" s="1"/>
  <c r="H196" i="1"/>
  <c r="F196" i="1"/>
  <c r="Q196" i="1"/>
  <c r="T196" i="1" s="1"/>
  <c r="H195" i="1"/>
  <c r="R195" i="1" s="1"/>
  <c r="F195" i="1"/>
  <c r="Q195" i="1" s="1"/>
  <c r="T195" i="1" s="1"/>
  <c r="H194" i="1"/>
  <c r="F194" i="1"/>
  <c r="Q194" i="1"/>
  <c r="T194" i="1" s="1"/>
  <c r="H193" i="1"/>
  <c r="R193" i="1" s="1"/>
  <c r="H192" i="1"/>
  <c r="F192" i="1" s="1"/>
  <c r="Q192" i="1" s="1"/>
  <c r="T192" i="1" s="1"/>
  <c r="H191" i="1"/>
  <c r="H190" i="1"/>
  <c r="H189" i="1"/>
  <c r="F189" i="1" s="1"/>
  <c r="Q189" i="1" s="1"/>
  <c r="T189" i="1" s="1"/>
  <c r="H188" i="1"/>
  <c r="R188" i="1"/>
  <c r="F187" i="1"/>
  <c r="Q187" i="1" s="1"/>
  <c r="T187" i="1"/>
  <c r="H186" i="1"/>
  <c r="H185" i="1"/>
  <c r="R185" i="1"/>
  <c r="H184" i="1"/>
  <c r="F184" i="1"/>
  <c r="Q184" i="1" s="1"/>
  <c r="T184" i="1"/>
  <c r="H183" i="1"/>
  <c r="R183" i="1" s="1"/>
  <c r="H182" i="1"/>
  <c r="F182" i="1"/>
  <c r="Q182" i="1"/>
  <c r="T182" i="1"/>
  <c r="H181" i="1"/>
  <c r="R181" i="1"/>
  <c r="H180" i="1"/>
  <c r="F180" i="1" s="1"/>
  <c r="Q180" i="1" s="1"/>
  <c r="T180" i="1" s="1"/>
  <c r="R179" i="1"/>
  <c r="H178" i="1"/>
  <c r="H177" i="1"/>
  <c r="R177" i="1"/>
  <c r="H176" i="1"/>
  <c r="R175" i="1"/>
  <c r="H174" i="1"/>
  <c r="R174" i="1"/>
  <c r="H173" i="1"/>
  <c r="H172" i="1"/>
  <c r="F172" i="1" s="1"/>
  <c r="Q172" i="1" s="1"/>
  <c r="T172" i="1" s="1"/>
  <c r="H171" i="1"/>
  <c r="F171" i="1" s="1"/>
  <c r="Q171" i="1" s="1"/>
  <c r="T171" i="1" s="1"/>
  <c r="H170" i="1"/>
  <c r="R170" i="1" s="1"/>
  <c r="H169" i="1"/>
  <c r="F169" i="1" s="1"/>
  <c r="Q169" i="1" s="1"/>
  <c r="R169" i="1"/>
  <c r="F165" i="1"/>
  <c r="Q165" i="1" s="1"/>
  <c r="T165" i="1" s="1"/>
  <c r="R164" i="1"/>
  <c r="H163" i="1"/>
  <c r="R163" i="1" s="1"/>
  <c r="R162" i="1"/>
  <c r="F161" i="1"/>
  <c r="Q161" i="1" s="1"/>
  <c r="T161" i="1" s="1"/>
  <c r="H159" i="1"/>
  <c r="R159" i="1"/>
  <c r="R158" i="1"/>
  <c r="H157" i="1"/>
  <c r="H156" i="1"/>
  <c r="H155" i="1"/>
  <c r="R155" i="1" s="1"/>
  <c r="R153" i="1"/>
  <c r="H152" i="1"/>
  <c r="R152" i="1"/>
  <c r="H151" i="1"/>
  <c r="R151" i="1" s="1"/>
  <c r="F150" i="1"/>
  <c r="Q150" i="1" s="1"/>
  <c r="T150" i="1" s="1"/>
  <c r="H149" i="1"/>
  <c r="F149" i="1"/>
  <c r="R148" i="1"/>
  <c r="H146" i="1"/>
  <c r="F146" i="1" s="1"/>
  <c r="Q146" i="1" s="1"/>
  <c r="T146" i="1" s="1"/>
  <c r="H145" i="1"/>
  <c r="R145" i="1"/>
  <c r="F144" i="1"/>
  <c r="Q144" i="1"/>
  <c r="T144" i="1"/>
  <c r="H143" i="1"/>
  <c r="R143" i="1"/>
  <c r="H142" i="1"/>
  <c r="H141" i="1"/>
  <c r="F141" i="1"/>
  <c r="Q141" i="1"/>
  <c r="T141" i="1"/>
  <c r="H140" i="1"/>
  <c r="R140" i="1" s="1"/>
  <c r="R139" i="1"/>
  <c r="F138" i="1"/>
  <c r="Q138" i="1" s="1"/>
  <c r="T138" i="1" s="1"/>
  <c r="R137" i="1"/>
  <c r="H136" i="1"/>
  <c r="F136" i="1"/>
  <c r="Q136" i="1" s="1"/>
  <c r="T136" i="1"/>
  <c r="R135" i="1"/>
  <c r="H134" i="1"/>
  <c r="R134" i="1"/>
  <c r="H133" i="1"/>
  <c r="F133" i="1"/>
  <c r="Q133" i="1"/>
  <c r="T133" i="1" s="1"/>
  <c r="H132" i="1"/>
  <c r="F132" i="1" s="1"/>
  <c r="Q132" i="1" s="1"/>
  <c r="R132" i="1"/>
  <c r="H131" i="1"/>
  <c r="R131" i="1"/>
  <c r="H130" i="1"/>
  <c r="R130" i="1"/>
  <c r="H129" i="1"/>
  <c r="F129" i="1" s="1"/>
  <c r="Q129" i="1"/>
  <c r="T129" i="1" s="1"/>
  <c r="F128" i="1"/>
  <c r="Q128" i="1"/>
  <c r="T128" i="1"/>
  <c r="H127" i="1"/>
  <c r="H126" i="1"/>
  <c r="F126" i="1" s="1"/>
  <c r="Q126" i="1" s="1"/>
  <c r="T126" i="1" s="1"/>
  <c r="H123" i="1"/>
  <c r="F123" i="1"/>
  <c r="Q123" i="1"/>
  <c r="T123" i="1"/>
  <c r="H122" i="1"/>
  <c r="H121" i="1"/>
  <c r="F121" i="1"/>
  <c r="Q121" i="1"/>
  <c r="T121" i="1" s="1"/>
  <c r="H120" i="1"/>
  <c r="F120" i="1"/>
  <c r="Q120" i="1"/>
  <c r="T120" i="1"/>
  <c r="H119" i="1"/>
  <c r="R119" i="1"/>
  <c r="H118" i="1"/>
  <c r="F118" i="1" s="1"/>
  <c r="Q118" i="1" s="1"/>
  <c r="H117" i="1"/>
  <c r="F117" i="1"/>
  <c r="Q117" i="1"/>
  <c r="T117" i="1"/>
  <c r="H116" i="1"/>
  <c r="F116" i="1"/>
  <c r="Q116" i="1" s="1"/>
  <c r="T116" i="1" s="1"/>
  <c r="H115" i="1"/>
  <c r="F115" i="1"/>
  <c r="Q115" i="1"/>
  <c r="T115" i="1"/>
  <c r="H114" i="1"/>
  <c r="H113" i="1"/>
  <c r="R113" i="1"/>
  <c r="H112" i="1"/>
  <c r="F112" i="1"/>
  <c r="Q112" i="1"/>
  <c r="T112" i="1"/>
  <c r="H111" i="1"/>
  <c r="F111" i="1" s="1"/>
  <c r="Q111" i="1" s="1"/>
  <c r="T111" i="1" s="1"/>
  <c r="H110" i="1"/>
  <c r="F110" i="1"/>
  <c r="Q110" i="1"/>
  <c r="T110" i="1"/>
  <c r="H109" i="1"/>
  <c r="R109" i="1" s="1"/>
  <c r="H108" i="1"/>
  <c r="R108" i="1" s="1"/>
  <c r="H107" i="1"/>
  <c r="H106" i="1"/>
  <c r="F106" i="1"/>
  <c r="Q106" i="1"/>
  <c r="T106" i="1"/>
  <c r="H105" i="1"/>
  <c r="F105" i="1"/>
  <c r="Q105" i="1" s="1"/>
  <c r="T105" i="1" s="1"/>
  <c r="H104" i="1"/>
  <c r="R104" i="1"/>
  <c r="H103" i="1"/>
  <c r="F103" i="1"/>
  <c r="Q103" i="1" s="1"/>
  <c r="T103" i="1"/>
  <c r="H102" i="1"/>
  <c r="H101" i="1"/>
  <c r="F101" i="1"/>
  <c r="Q101" i="1"/>
  <c r="T101" i="1"/>
  <c r="H100" i="1"/>
  <c r="R100" i="1"/>
  <c r="H96" i="1"/>
  <c r="R96" i="1" s="1"/>
  <c r="H95" i="1"/>
  <c r="R95" i="1"/>
  <c r="H94" i="1"/>
  <c r="R94" i="1"/>
  <c r="H93" i="1"/>
  <c r="F93" i="1" s="1"/>
  <c r="H92" i="1"/>
  <c r="R92" i="1" s="1"/>
  <c r="F91" i="1"/>
  <c r="Q91" i="1"/>
  <c r="T91" i="1"/>
  <c r="H88" i="1"/>
  <c r="R88" i="1"/>
  <c r="H87" i="1"/>
  <c r="F87" i="1" s="1"/>
  <c r="Q87" i="1" s="1"/>
  <c r="T87" i="1" s="1"/>
  <c r="H86" i="1"/>
  <c r="R86" i="1"/>
  <c r="H84" i="1"/>
  <c r="F84" i="1"/>
  <c r="Q84" i="1"/>
  <c r="T84" i="1" s="1"/>
  <c r="H83" i="1"/>
  <c r="F83" i="1"/>
  <c r="Q83" i="1"/>
  <c r="T83" i="1"/>
  <c r="H82" i="1"/>
  <c r="F82" i="1"/>
  <c r="Q82" i="1" s="1"/>
  <c r="T82" i="1" s="1"/>
  <c r="H80" i="1"/>
  <c r="F80" i="1"/>
  <c r="Q80" i="1"/>
  <c r="T80" i="1"/>
  <c r="H79" i="1"/>
  <c r="R79" i="1"/>
  <c r="R78" i="1"/>
  <c r="F77" i="1"/>
  <c r="Q77" i="1"/>
  <c r="T77" i="1"/>
  <c r="H76" i="1"/>
  <c r="R75" i="1"/>
  <c r="H74" i="1"/>
  <c r="H73" i="1"/>
  <c r="F73" i="1"/>
  <c r="Q73" i="1" s="1"/>
  <c r="T73" i="1" s="1"/>
  <c r="F72" i="1"/>
  <c r="H70" i="1"/>
  <c r="R70" i="1"/>
  <c r="F69" i="1"/>
  <c r="Q69" i="1"/>
  <c r="T69" i="1" s="1"/>
  <c r="R67" i="1"/>
  <c r="H66" i="1"/>
  <c r="R66" i="1"/>
  <c r="H65" i="1"/>
  <c r="F65" i="1"/>
  <c r="Q65" i="1" s="1"/>
  <c r="T65" i="1"/>
  <c r="R64" i="1"/>
  <c r="F63" i="1"/>
  <c r="H62" i="1"/>
  <c r="F62" i="1"/>
  <c r="Q62" i="1"/>
  <c r="T62" i="1"/>
  <c r="R61" i="1"/>
  <c r="R60" i="1"/>
  <c r="H59" i="1"/>
  <c r="R59" i="1" s="1"/>
  <c r="H58" i="1"/>
  <c r="R58" i="1"/>
  <c r="H57" i="1"/>
  <c r="F57" i="1"/>
  <c r="Q57" i="1" s="1"/>
  <c r="T57" i="1"/>
  <c r="H56" i="1"/>
  <c r="R56" i="1" s="1"/>
  <c r="H55" i="1"/>
  <c r="H54" i="1"/>
  <c r="R54" i="1"/>
  <c r="H53" i="1"/>
  <c r="F53" i="1" s="1"/>
  <c r="Q53" i="1"/>
  <c r="T53" i="1" s="1"/>
  <c r="R52" i="1"/>
  <c r="H51" i="1"/>
  <c r="R51" i="1"/>
  <c r="H50" i="1"/>
  <c r="F50" i="1"/>
  <c r="Q50" i="1" s="1"/>
  <c r="T50" i="1" s="1"/>
  <c r="R49" i="1"/>
  <c r="H48" i="1"/>
  <c r="R47" i="1"/>
  <c r="H46" i="1"/>
  <c r="F46" i="1"/>
  <c r="Q46" i="1"/>
  <c r="T46" i="1" s="1"/>
  <c r="R45" i="1"/>
  <c r="H44" i="1"/>
  <c r="R44" i="1" s="1"/>
  <c r="H43" i="1"/>
  <c r="F43" i="1"/>
  <c r="Q43" i="1"/>
  <c r="T43" i="1"/>
  <c r="R42" i="1"/>
  <c r="F41" i="1"/>
  <c r="Q41" i="1" s="1"/>
  <c r="T41" i="1" s="1"/>
  <c r="F40" i="1"/>
  <c r="Q40" i="1"/>
  <c r="T40" i="1"/>
  <c r="F39" i="1"/>
  <c r="Q39" i="1" s="1"/>
  <c r="T39" i="1" s="1"/>
  <c r="F38" i="1"/>
  <c r="Q38" i="1" s="1"/>
  <c r="T38" i="1" s="1"/>
  <c r="H35" i="1"/>
  <c r="R35" i="1"/>
  <c r="H34" i="1"/>
  <c r="F34" i="1" s="1"/>
  <c r="Q34" i="1"/>
  <c r="T34" i="1" s="1"/>
  <c r="F33" i="1"/>
  <c r="H32" i="1"/>
  <c r="R32" i="1"/>
  <c r="R31" i="1"/>
  <c r="H30" i="1"/>
  <c r="F30" i="1" s="1"/>
  <c r="Q30" i="1" s="1"/>
  <c r="T30" i="1" s="1"/>
  <c r="H29" i="1"/>
  <c r="F29" i="1"/>
  <c r="Q29" i="1"/>
  <c r="T29" i="1"/>
  <c r="F28" i="1"/>
  <c r="Q28" i="1" s="1"/>
  <c r="T28" i="1" s="1"/>
  <c r="H27" i="1"/>
  <c r="R27" i="1" s="1"/>
  <c r="F26" i="1"/>
  <c r="F25" i="1"/>
  <c r="Q25" i="1"/>
  <c r="T25" i="1"/>
  <c r="H24" i="1"/>
  <c r="F24" i="1"/>
  <c r="Q24" i="1" s="1"/>
  <c r="T24" i="1" s="1"/>
  <c r="H23" i="1"/>
  <c r="F23" i="1"/>
  <c r="Q23" i="1"/>
  <c r="T23" i="1"/>
  <c r="F22" i="1"/>
  <c r="Q22" i="1"/>
  <c r="T22" i="1"/>
  <c r="H21" i="1"/>
  <c r="F21" i="1"/>
  <c r="Q21" i="1"/>
  <c r="T21" i="1"/>
  <c r="F20" i="1"/>
  <c r="Q20" i="1" s="1"/>
  <c r="T20" i="1" s="1"/>
  <c r="H19" i="1"/>
  <c r="R18" i="1"/>
  <c r="H17" i="1"/>
  <c r="R17" i="1"/>
  <c r="F16" i="1"/>
  <c r="H15" i="1"/>
  <c r="R15" i="1" s="1"/>
  <c r="R14" i="1"/>
  <c r="R303" i="1"/>
  <c r="R278" i="1"/>
  <c r="R209" i="1"/>
  <c r="H13" i="1"/>
  <c r="F13" i="1"/>
  <c r="Q13" i="1"/>
  <c r="T13" i="1" s="1"/>
  <c r="T85" i="1"/>
  <c r="R345" i="1"/>
  <c r="F263" i="1"/>
  <c r="Q263" i="1"/>
  <c r="T263" i="1"/>
  <c r="F240" i="1"/>
  <c r="Q240" i="1"/>
  <c r="T240" i="1" s="1"/>
  <c r="R344" i="1"/>
  <c r="R187" i="1"/>
  <c r="F266" i="1"/>
  <c r="F153" i="1"/>
  <c r="Q153" i="1" s="1"/>
  <c r="T153" i="1"/>
  <c r="F75" i="1"/>
  <c r="Q75" i="1" s="1"/>
  <c r="T75" i="1" s="1"/>
  <c r="F137" i="1"/>
  <c r="Q137" i="1"/>
  <c r="T137" i="1"/>
  <c r="R351" i="1"/>
  <c r="F253" i="1"/>
  <c r="Q253" i="1"/>
  <c r="T253" i="1" s="1"/>
  <c r="F47" i="1"/>
  <c r="Q47" i="1"/>
  <c r="T47" i="1"/>
  <c r="F78" i="1"/>
  <c r="Q78" i="1" s="1"/>
  <c r="T78" i="1" s="1"/>
  <c r="R217" i="1"/>
  <c r="F14" i="1"/>
  <c r="R36" i="1"/>
  <c r="F36" i="1"/>
  <c r="F296" i="1"/>
  <c r="Q296" i="1"/>
  <c r="T296" i="1" s="1"/>
  <c r="F166" i="1"/>
  <c r="Q166" i="1" s="1"/>
  <c r="T166" i="1" s="1"/>
  <c r="R166" i="1"/>
  <c r="F31" i="1"/>
  <c r="Q31" i="1"/>
  <c r="T31" i="1"/>
  <c r="R302" i="1"/>
  <c r="F254" i="1"/>
  <c r="Q254" i="1" s="1"/>
  <c r="T254" i="1" s="1"/>
  <c r="R254" i="1"/>
  <c r="F158" i="1"/>
  <c r="Q158" i="1" s="1"/>
  <c r="T158" i="1" s="1"/>
  <c r="R245" i="1"/>
  <c r="F288" i="1"/>
  <c r="Q288" i="1"/>
  <c r="T288" i="1"/>
  <c r="F356" i="1"/>
  <c r="Q356" i="1"/>
  <c r="T356" i="1"/>
  <c r="F49" i="1"/>
  <c r="Q49" i="1"/>
  <c r="T49" i="1"/>
  <c r="F60" i="1"/>
  <c r="Q60" i="1"/>
  <c r="T60" i="1" s="1"/>
  <c r="F322" i="1"/>
  <c r="Q322" i="1" s="1"/>
  <c r="T322" i="1" s="1"/>
  <c r="R39" i="1"/>
  <c r="F162" i="1"/>
  <c r="R267" i="1"/>
  <c r="R69" i="1"/>
  <c r="R268" i="1"/>
  <c r="R354" i="1"/>
  <c r="R237" i="1"/>
  <c r="R297" i="1"/>
  <c r="F265" i="1"/>
  <c r="Q265" i="1"/>
  <c r="T265" i="1"/>
  <c r="R347" i="1"/>
  <c r="R77" i="1"/>
  <c r="R144" i="1"/>
  <c r="R26" i="1"/>
  <c r="F226" i="1"/>
  <c r="Q226" i="1"/>
  <c r="T226" i="1"/>
  <c r="F262" i="1"/>
  <c r="Q262" i="1"/>
  <c r="T262" i="1" s="1"/>
  <c r="F148" i="1"/>
  <c r="Q148" i="1"/>
  <c r="T148" i="1" s="1"/>
  <c r="R16" i="1"/>
  <c r="R320" i="1"/>
  <c r="R25" i="1"/>
  <c r="R233" i="1"/>
  <c r="F342" i="1"/>
  <c r="Q342" i="1"/>
  <c r="T342" i="1" s="1"/>
  <c r="R72" i="1"/>
  <c r="R33" i="1"/>
  <c r="R150" i="1"/>
  <c r="F251" i="1"/>
  <c r="R63" i="1"/>
  <c r="F164" i="1"/>
  <c r="Q164" i="1"/>
  <c r="T164" i="1" s="1"/>
  <c r="R264" i="1"/>
  <c r="R269" i="1"/>
  <c r="F67" i="1"/>
  <c r="Q67" i="1"/>
  <c r="T67" i="1"/>
  <c r="R304" i="1"/>
  <c r="R165" i="1"/>
  <c r="F357" i="1"/>
  <c r="Q357" i="1" s="1"/>
  <c r="T357" i="1" s="1"/>
  <c r="R321" i="1"/>
  <c r="R28" i="1"/>
  <c r="F202" i="1"/>
  <c r="F52" i="1"/>
  <c r="Q52" i="1"/>
  <c r="T52" i="1"/>
  <c r="R41" i="1"/>
  <c r="F64" i="1"/>
  <c r="Q64" i="1"/>
  <c r="T64" i="1"/>
  <c r="F235" i="1"/>
  <c r="F219" i="1"/>
  <c r="Q219" i="1"/>
  <c r="T219" i="1"/>
  <c r="F45" i="1"/>
  <c r="Q45" i="1"/>
  <c r="T45" i="1"/>
  <c r="F175" i="1"/>
  <c r="Q175" i="1"/>
  <c r="T175" i="1" s="1"/>
  <c r="R20" i="1"/>
  <c r="R91" i="1"/>
  <c r="Q272" i="1"/>
  <c r="T272" i="1"/>
  <c r="R316" i="1"/>
  <c r="R328" i="1"/>
  <c r="F139" i="1"/>
  <c r="Q139" i="1" s="1"/>
  <c r="T139" i="1" s="1"/>
  <c r="F61" i="1"/>
  <c r="Q61" i="1" s="1"/>
  <c r="T61" i="1" s="1"/>
  <c r="R230" i="1"/>
  <c r="R318" i="1"/>
  <c r="F214" i="1"/>
  <c r="Q214" i="1" s="1"/>
  <c r="T214" i="1" s="1"/>
  <c r="F179" i="1"/>
  <c r="Q179" i="1" s="1"/>
  <c r="T179" i="1" s="1"/>
  <c r="R37" i="1"/>
  <c r="F37" i="1"/>
  <c r="Q37" i="1"/>
  <c r="T37" i="1" s="1"/>
  <c r="R68" i="1"/>
  <c r="F68" i="1"/>
  <c r="Q68" i="1" s="1"/>
  <c r="T68" i="1" s="1"/>
  <c r="R22" i="1"/>
  <c r="F228" i="1"/>
  <c r="Q228" i="1"/>
  <c r="T228" i="1" s="1"/>
  <c r="R261" i="1"/>
  <c r="F177" i="1"/>
  <c r="Q177" i="1" s="1"/>
  <c r="T177" i="1" s="1"/>
  <c r="F18" i="1"/>
  <c r="Q18" i="1"/>
  <c r="T18" i="1"/>
  <c r="F279" i="1"/>
  <c r="Q279" i="1"/>
  <c r="T279" i="1"/>
  <c r="F286" i="1"/>
  <c r="Q286" i="1" s="1"/>
  <c r="T286" i="1" s="1"/>
  <c r="R38" i="1"/>
  <c r="R40" i="1"/>
  <c r="F349" i="1"/>
  <c r="Q349" i="1"/>
  <c r="T349" i="1" s="1"/>
  <c r="R258" i="1"/>
  <c r="F348" i="1"/>
  <c r="Q348" i="1"/>
  <c r="T348" i="1"/>
  <c r="F343" i="1"/>
  <c r="Q343" i="1" s="1"/>
  <c r="T343" i="1" s="1"/>
  <c r="R315" i="1"/>
  <c r="R161" i="1"/>
  <c r="F42" i="1"/>
  <c r="Q42" i="1"/>
  <c r="T42" i="1"/>
  <c r="F308" i="1"/>
  <c r="Q308" i="1" s="1"/>
  <c r="T308" i="1"/>
  <c r="R243" i="1"/>
  <c r="R238" i="1"/>
  <c r="R138" i="1"/>
  <c r="F346" i="1"/>
  <c r="Q346" i="1"/>
  <c r="T346" i="1"/>
  <c r="R295" i="1"/>
  <c r="F135" i="1"/>
  <c r="Q135" i="1" s="1"/>
  <c r="T135" i="1" s="1"/>
  <c r="R128" i="1"/>
  <c r="R248" i="1"/>
  <c r="R81" i="1"/>
  <c r="F81" i="1"/>
  <c r="Q81" i="1" s="1"/>
  <c r="T81" i="1" s="1"/>
  <c r="F90" i="1"/>
  <c r="Q90" i="1" s="1"/>
  <c r="T90" i="1" s="1"/>
  <c r="F89" i="1"/>
  <c r="Q89" i="1"/>
  <c r="T89" i="1"/>
  <c r="R298" i="1"/>
  <c r="F108" i="1"/>
  <c r="Q108" i="1" s="1"/>
  <c r="T108" i="1" s="1"/>
  <c r="Q229" i="1"/>
  <c r="T229" i="1" s="1"/>
  <c r="F220" i="1"/>
  <c r="Q220" i="1" s="1"/>
  <c r="T220" i="1" s="1"/>
  <c r="F310" i="1"/>
  <c r="Q310" i="1"/>
  <c r="T310" i="1"/>
  <c r="R118" i="1"/>
  <c r="R300" i="1"/>
  <c r="R256" i="1"/>
  <c r="F337" i="1"/>
  <c r="Q337" i="1" s="1"/>
  <c r="T337" i="1" s="1"/>
  <c r="R57" i="1"/>
  <c r="F174" i="1"/>
  <c r="Q174" i="1"/>
  <c r="T174" i="1" s="1"/>
  <c r="F145" i="1"/>
  <c r="Q145" i="1"/>
  <c r="T145" i="1"/>
  <c r="F222" i="1"/>
  <c r="Q222" i="1" s="1"/>
  <c r="T222" i="1" s="1"/>
  <c r="R196" i="1"/>
  <c r="F285" i="1"/>
  <c r="Q285" i="1"/>
  <c r="T285" i="1"/>
  <c r="R292" i="1"/>
  <c r="R355" i="1"/>
  <c r="R203" i="1"/>
  <c r="R30" i="1"/>
  <c r="Q125" i="1"/>
  <c r="T125" i="1" s="1"/>
  <c r="R50" i="1"/>
  <c r="F215" i="1"/>
  <c r="Q215" i="1" s="1"/>
  <c r="T215" i="1" s="1"/>
  <c r="R65" i="1"/>
  <c r="F143" i="1"/>
  <c r="Q143" i="1"/>
  <c r="T143" i="1"/>
  <c r="F207" i="1"/>
  <c r="Q207" i="1" s="1"/>
  <c r="T207" i="1" s="1"/>
  <c r="R194" i="1"/>
  <c r="R84" i="1"/>
  <c r="R141" i="1"/>
  <c r="R116" i="1"/>
  <c r="F312" i="1"/>
  <c r="Q312" i="1" s="1"/>
  <c r="T312" i="1" s="1"/>
  <c r="R201" i="1"/>
  <c r="R111" i="1"/>
  <c r="F155" i="1"/>
  <c r="Q155" i="1" s="1"/>
  <c r="T155" i="1" s="1"/>
  <c r="F276" i="1"/>
  <c r="Q276" i="1"/>
  <c r="T276" i="1" s="1"/>
  <c r="R324" i="1"/>
  <c r="R273" i="1"/>
  <c r="R239" i="1"/>
  <c r="R198" i="1"/>
  <c r="F88" i="1"/>
  <c r="Q88" i="1"/>
  <c r="T88" i="1"/>
  <c r="F131" i="1"/>
  <c r="Q131" i="1" s="1"/>
  <c r="T131" i="1" s="1"/>
  <c r="F183" i="1"/>
  <c r="Q183" i="1" s="1"/>
  <c r="T183" i="1" s="1"/>
  <c r="F170" i="1"/>
  <c r="Q170" i="1" s="1"/>
  <c r="T170" i="1" s="1"/>
  <c r="R224" i="1"/>
  <c r="T169" i="1"/>
  <c r="R82" i="1"/>
  <c r="R112" i="1"/>
  <c r="F79" i="1"/>
  <c r="Q79" i="1"/>
  <c r="T79" i="1" s="1"/>
  <c r="F151" i="1"/>
  <c r="Q151" i="1"/>
  <c r="T151" i="1"/>
  <c r="F271" i="1"/>
  <c r="Q271" i="1" s="1"/>
  <c r="T271" i="1" s="1"/>
  <c r="F334" i="1"/>
  <c r="Q334" i="1" s="1"/>
  <c r="T334" i="1" s="1"/>
  <c r="R43" i="1"/>
  <c r="R80" i="1"/>
  <c r="F104" i="1"/>
  <c r="Q104" i="1" s="1"/>
  <c r="T104" i="1" s="1"/>
  <c r="R172" i="1"/>
  <c r="R184" i="1"/>
  <c r="R205" i="1"/>
  <c r="F323" i="1"/>
  <c r="Q323" i="1" s="1"/>
  <c r="T323" i="1" s="1"/>
  <c r="F326" i="1"/>
  <c r="Q326" i="1"/>
  <c r="T326" i="1" s="1"/>
  <c r="F331" i="1"/>
  <c r="Q331" i="1"/>
  <c r="T331" i="1"/>
  <c r="F336" i="1"/>
  <c r="Q336" i="1" s="1"/>
  <c r="T336" i="1" s="1"/>
  <c r="R339" i="1"/>
  <c r="F341" i="1"/>
  <c r="Q341" i="1"/>
  <c r="T341" i="1"/>
  <c r="R110" i="1"/>
  <c r="R90" i="1"/>
  <c r="R89" i="1"/>
  <c r="R154" i="1"/>
  <c r="F154" i="1"/>
  <c r="Q154" i="1" s="1"/>
  <c r="T154" i="1" s="1"/>
  <c r="R71" i="1"/>
  <c r="R160" i="1"/>
  <c r="R244" i="1"/>
  <c r="R21" i="1"/>
  <c r="R93" i="1"/>
  <c r="R101" i="1"/>
  <c r="R105" i="1"/>
  <c r="F130" i="1"/>
  <c r="Q130" i="1"/>
  <c r="T130" i="1"/>
  <c r="R149" i="1"/>
  <c r="R290" i="1"/>
  <c r="F307" i="1"/>
  <c r="Q307" i="1" s="1"/>
  <c r="T307" i="1" s="1"/>
  <c r="F352" i="1"/>
  <c r="Q352" i="1"/>
  <c r="T352" i="1"/>
  <c r="R115" i="1"/>
  <c r="R13" i="1"/>
  <c r="F35" i="1"/>
  <c r="Q35" i="1"/>
  <c r="T35" i="1" s="1"/>
  <c r="F95" i="1"/>
  <c r="Q95" i="1"/>
  <c r="T95" i="1"/>
  <c r="F100" i="1"/>
  <c r="Q100" i="1" s="1"/>
  <c r="T100" i="1" s="1"/>
  <c r="F113" i="1"/>
  <c r="T132" i="1"/>
  <c r="R192" i="1"/>
  <c r="R218" i="1"/>
  <c r="R242" i="1"/>
  <c r="F306" i="1"/>
  <c r="Q306" i="1" s="1"/>
  <c r="T306" i="1" s="1"/>
  <c r="R311" i="1"/>
  <c r="R332" i="1"/>
  <c r="F204" i="1"/>
  <c r="Q204" i="1"/>
  <c r="T204" i="1" s="1"/>
  <c r="F221" i="1"/>
  <c r="Q221" i="1" s="1"/>
  <c r="T221" i="1" s="1"/>
  <c r="F152" i="1"/>
  <c r="Q152" i="1" s="1"/>
  <c r="T152" i="1" s="1"/>
  <c r="F163" i="1"/>
  <c r="Q163" i="1" s="1"/>
  <c r="T163" i="1" s="1"/>
  <c r="R136" i="1"/>
  <c r="R146" i="1"/>
  <c r="R189" i="1"/>
  <c r="F134" i="1"/>
  <c r="Q134" i="1"/>
  <c r="T134" i="1"/>
  <c r="F185" i="1"/>
  <c r="Q185" i="1" s="1"/>
  <c r="R123" i="1"/>
  <c r="F250" i="1"/>
  <c r="Q250" i="1"/>
  <c r="T250" i="1" s="1"/>
  <c r="R287" i="1"/>
  <c r="F181" i="1"/>
  <c r="Q181" i="1"/>
  <c r="T181" i="1"/>
  <c r="R353" i="1"/>
  <c r="F210" i="1"/>
  <c r="Q210" i="1"/>
  <c r="T210" i="1"/>
  <c r="R313" i="1"/>
  <c r="T118" i="1"/>
  <c r="Q230" i="1"/>
  <c r="T230" i="1" s="1"/>
  <c r="Q344" i="1"/>
  <c r="T344" i="1" s="1"/>
  <c r="Q251" i="1"/>
  <c r="T251" i="1" s="1"/>
  <c r="Q36" i="1"/>
  <c r="T36" i="1" s="1"/>
  <c r="Q304" i="1"/>
  <c r="T304" i="1" s="1"/>
  <c r="Q235" i="1"/>
  <c r="T235" i="1"/>
  <c r="Q162" i="1"/>
  <c r="T162" i="1"/>
  <c r="Q266" i="1"/>
  <c r="T266" i="1" s="1"/>
  <c r="Q26" i="1"/>
  <c r="T26" i="1"/>
  <c r="T185" i="1"/>
  <c r="Q202" i="1"/>
  <c r="T202" i="1" s="1"/>
  <c r="Q63" i="1"/>
  <c r="T63" i="1"/>
  <c r="Q354" i="1"/>
  <c r="T354" i="1"/>
  <c r="Q16" i="1"/>
  <c r="T16" i="1" s="1"/>
  <c r="Q33" i="1"/>
  <c r="T33" i="1"/>
  <c r="Q149" i="1"/>
  <c r="T149" i="1"/>
  <c r="Q71" i="1"/>
  <c r="T71" i="1" s="1"/>
  <c r="F54" i="1"/>
  <c r="Q54" i="1"/>
  <c r="T54" i="1" s="1"/>
  <c r="R212" i="1"/>
  <c r="R34" i="1"/>
  <c r="R126" i="1"/>
  <c r="R117" i="1"/>
  <c r="Q14" i="1"/>
  <c r="T14" i="1"/>
  <c r="F70" i="1"/>
  <c r="Q70" i="1" s="1"/>
  <c r="T70" i="1" s="1"/>
  <c r="R83" i="1"/>
  <c r="F86" i="1"/>
  <c r="Q86" i="1" s="1"/>
  <c r="T86" i="1" s="1"/>
  <c r="Q93" i="1"/>
  <c r="T93" i="1"/>
  <c r="F140" i="1"/>
  <c r="Q140" i="1"/>
  <c r="T140" i="1" s="1"/>
  <c r="F159" i="1"/>
  <c r="Q159" i="1" s="1"/>
  <c r="T159" i="1" s="1"/>
  <c r="R171" i="1"/>
  <c r="Q72" i="1"/>
  <c r="T72" i="1" s="1"/>
  <c r="R231" i="1"/>
  <c r="Q267" i="1"/>
  <c r="T267" i="1"/>
  <c r="F190" i="1"/>
  <c r="Q190" i="1" s="1"/>
  <c r="T190" i="1" s="1"/>
  <c r="R190" i="1"/>
  <c r="F56" i="1"/>
  <c r="Q56" i="1"/>
  <c r="T56" i="1" s="1"/>
  <c r="F59" i="1"/>
  <c r="Q59" i="1" s="1"/>
  <c r="T59" i="1" s="1"/>
  <c r="F291" i="1"/>
  <c r="Q291" i="1"/>
  <c r="T291" i="1" s="1"/>
  <c r="R182" i="1"/>
  <c r="R46" i="1"/>
  <c r="R199" i="1"/>
  <c r="R29" i="1"/>
  <c r="F58" i="1"/>
  <c r="Q58" i="1"/>
  <c r="T58" i="1" s="1"/>
  <c r="F66" i="1"/>
  <c r="Q66" i="1" s="1"/>
  <c r="T66" i="1" s="1"/>
  <c r="F27" i="1"/>
  <c r="Q27" i="1" s="1"/>
  <c r="T27" i="1" s="1"/>
  <c r="F241" i="1"/>
  <c r="Q241" i="1" s="1"/>
  <c r="T241" i="1" s="1"/>
  <c r="F51" i="1"/>
  <c r="Q51" i="1"/>
  <c r="T51" i="1" s="1"/>
  <c r="R133" i="1"/>
  <c r="R333" i="1"/>
  <c r="R129" i="1"/>
  <c r="R62" i="1"/>
  <c r="R225" i="1"/>
  <c r="F270" i="1"/>
  <c r="Q270" i="1"/>
  <c r="T270" i="1" s="1"/>
  <c r="F156" i="1"/>
  <c r="Q156" i="1"/>
  <c r="T156" i="1"/>
  <c r="R156" i="1"/>
  <c r="F44" i="1"/>
  <c r="Q44" i="1" s="1"/>
  <c r="T44" i="1" s="1"/>
  <c r="R103" i="1"/>
  <c r="F17" i="1"/>
  <c r="Q17" i="1"/>
  <c r="T17" i="1"/>
  <c r="R121" i="1"/>
  <c r="F32" i="1"/>
  <c r="Q32" i="1" s="1"/>
  <c r="T32" i="1" s="1"/>
  <c r="F119" i="1"/>
  <c r="Q119" i="1" s="1"/>
  <c r="T119" i="1" s="1"/>
  <c r="R24" i="1"/>
  <c r="R120" i="1"/>
  <c r="F94" i="1"/>
  <c r="Q94" i="1" s="1"/>
  <c r="T94" i="1" s="1"/>
  <c r="R106" i="1"/>
  <c r="F188" i="1"/>
  <c r="Q188" i="1"/>
  <c r="T188" i="1"/>
  <c r="R23" i="1"/>
  <c r="F200" i="1"/>
  <c r="Q200" i="1" s="1"/>
  <c r="T200" i="1" s="1"/>
  <c r="F55" i="1"/>
  <c r="Q55" i="1" s="1"/>
  <c r="T55" i="1" s="1"/>
  <c r="R55" i="1"/>
  <c r="F252" i="1"/>
  <c r="Q252" i="1"/>
  <c r="T252" i="1" s="1"/>
  <c r="R252" i="1"/>
  <c r="R280" i="1"/>
  <c r="F280" i="1"/>
  <c r="Q280" i="1"/>
  <c r="T280" i="1"/>
  <c r="R301" i="1"/>
  <c r="F19" i="1"/>
  <c r="Q19" i="1" s="1"/>
  <c r="T19" i="1" s="1"/>
  <c r="R19" i="1"/>
  <c r="R122" i="1"/>
  <c r="F122" i="1"/>
  <c r="Q122" i="1"/>
  <c r="T122" i="1" s="1"/>
  <c r="F249" i="1"/>
  <c r="Q249" i="1" s="1"/>
  <c r="T249" i="1" s="1"/>
  <c r="R249" i="1"/>
  <c r="F299" i="1"/>
  <c r="Q299" i="1"/>
  <c r="T299" i="1"/>
  <c r="R299" i="1"/>
  <c r="F15" i="1"/>
  <c r="Q15" i="1" s="1"/>
  <c r="T15" i="1" s="1"/>
  <c r="F157" i="1"/>
  <c r="Q157" i="1" s="1"/>
  <c r="T157" i="1" s="1"/>
  <c r="R157" i="1"/>
  <c r="R178" i="1"/>
  <c r="F178" i="1"/>
  <c r="Q178" i="1" s="1"/>
  <c r="T178" i="1" s="1"/>
  <c r="F206" i="1"/>
  <c r="Q206" i="1" s="1"/>
  <c r="T206" i="1" s="1"/>
  <c r="R206" i="1"/>
  <c r="R223" i="1"/>
  <c r="F223" i="1"/>
  <c r="Q223" i="1" s="1"/>
  <c r="T223" i="1" s="1"/>
  <c r="F246" i="1"/>
  <c r="Q246" i="1" s="1"/>
  <c r="T246" i="1" s="1"/>
  <c r="R246" i="1"/>
  <c r="F259" i="1"/>
  <c r="Q259" i="1"/>
  <c r="T259" i="1" s="1"/>
  <c r="R259" i="1"/>
  <c r="F289" i="1"/>
  <c r="Q289" i="1" s="1"/>
  <c r="T289" i="1" s="1"/>
  <c r="R289" i="1"/>
  <c r="F294" i="1"/>
  <c r="Q294" i="1"/>
  <c r="T294" i="1" s="1"/>
  <c r="R294" i="1"/>
  <c r="F173" i="1"/>
  <c r="Q173" i="1" s="1"/>
  <c r="T173" i="1" s="1"/>
  <c r="R173" i="1"/>
  <c r="F211" i="1"/>
  <c r="Q211" i="1"/>
  <c r="T211" i="1" s="1"/>
  <c r="R211" i="1"/>
  <c r="F76" i="1"/>
  <c r="Q76" i="1" s="1"/>
  <c r="T76" i="1" s="1"/>
  <c r="R76" i="1"/>
  <c r="R107" i="1"/>
  <c r="F107" i="1"/>
  <c r="Q107" i="1"/>
  <c r="T107" i="1"/>
  <c r="F127" i="1"/>
  <c r="Q127" i="1"/>
  <c r="T127" i="1" s="1"/>
  <c r="R127" i="1"/>
  <c r="R191" i="1"/>
  <c r="F191" i="1"/>
  <c r="Q191" i="1"/>
  <c r="T191" i="1"/>
  <c r="F227" i="1"/>
  <c r="Q227" i="1"/>
  <c r="T227" i="1" s="1"/>
  <c r="R227" i="1"/>
  <c r="R330" i="1"/>
  <c r="F330" i="1"/>
  <c r="Q330" i="1"/>
  <c r="T330" i="1"/>
  <c r="R197" i="1"/>
  <c r="R53" i="1"/>
  <c r="F48" i="1"/>
  <c r="Q48" i="1"/>
  <c r="T48" i="1"/>
  <c r="R48" i="1"/>
  <c r="R114" i="1"/>
  <c r="F114" i="1"/>
  <c r="Q114" i="1" s="1"/>
  <c r="T114" i="1" s="1"/>
  <c r="R176" i="1"/>
  <c r="F176" i="1"/>
  <c r="Q176" i="1"/>
  <c r="T176" i="1" s="1"/>
  <c r="R213" i="1"/>
  <c r="F213" i="1"/>
  <c r="Q213" i="1" s="1"/>
  <c r="T213" i="1" s="1"/>
  <c r="F257" i="1"/>
  <c r="Q257" i="1"/>
  <c r="T257" i="1"/>
  <c r="R257" i="1"/>
  <c r="R73" i="1"/>
  <c r="F142" i="1"/>
  <c r="Q142" i="1" s="1"/>
  <c r="T142" i="1" s="1"/>
  <c r="R142" i="1"/>
  <c r="R87" i="1"/>
  <c r="F74" i="1"/>
  <c r="Q74" i="1" s="1"/>
  <c r="T74" i="1" s="1"/>
  <c r="R74" i="1"/>
  <c r="R327" i="1"/>
  <c r="F327" i="1"/>
  <c r="Q327" i="1" s="1"/>
  <c r="T327" i="1" s="1"/>
  <c r="K358" i="1"/>
  <c r="T360" i="1" s="1"/>
  <c r="L358" i="1"/>
  <c r="T361" i="1" s="1"/>
  <c r="F96" i="1" l="1"/>
  <c r="Q96" i="1" s="1"/>
  <c r="T96" i="1" s="1"/>
  <c r="F92" i="1"/>
  <c r="Q92" i="1" s="1"/>
  <c r="T92" i="1" s="1"/>
  <c r="T359" i="1" s="1"/>
  <c r="F335" i="1"/>
  <c r="Q335" i="1" s="1"/>
  <c r="T335" i="1" s="1"/>
  <c r="R232" i="1"/>
  <c r="F232" i="1"/>
  <c r="Q232" i="1" s="1"/>
  <c r="T232" i="1" s="1"/>
  <c r="R317" i="1"/>
  <c r="R180" i="1"/>
  <c r="F277" i="1"/>
  <c r="Q277" i="1" s="1"/>
  <c r="T277" i="1" s="1"/>
  <c r="R247" i="1"/>
  <c r="F247" i="1"/>
  <c r="Q247" i="1" s="1"/>
  <c r="T247" i="1" s="1"/>
  <c r="R186" i="1"/>
  <c r="F186" i="1"/>
  <c r="Q186" i="1" s="1"/>
  <c r="T186" i="1" s="1"/>
  <c r="F193" i="1"/>
  <c r="Q193" i="1" s="1"/>
  <c r="T193" i="1" s="1"/>
  <c r="F350" i="1"/>
  <c r="Q350" i="1" s="1"/>
  <c r="T350" i="1" s="1"/>
  <c r="R102" i="1"/>
  <c r="F102" i="1"/>
  <c r="Q102" i="1" s="1"/>
  <c r="T102" i="1" s="1"/>
  <c r="F109" i="1"/>
  <c r="Q109" i="1" s="1"/>
  <c r="T109" i="1" s="1"/>
</calcChain>
</file>

<file path=xl/comments1.xml><?xml version="1.0" encoding="utf-8"?>
<comments xmlns="http://schemas.openxmlformats.org/spreadsheetml/2006/main">
  <authors>
    <author>vpykhtin</author>
  </authors>
  <commentList>
    <comment ref="P98" authorId="0" shapeId="0">
      <text>
        <r>
          <rPr>
            <b/>
            <sz val="7"/>
            <color indexed="81"/>
            <rFont val="Tahoma"/>
            <family val="2"/>
            <charset val="204"/>
          </rPr>
          <t>Для просмотра позиций со статусом "нет в наличии" поставьте галочку в соответствующем пункте контекстного меню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<sst xmlns="http://schemas.openxmlformats.org/spreadsheetml/2006/main" count="2003" uniqueCount="870">
  <si>
    <t>Артикул</t>
  </si>
  <si>
    <t>Название</t>
  </si>
  <si>
    <t>Количество залпов</t>
  </si>
  <si>
    <t>Калибр в дюймах</t>
  </si>
  <si>
    <t>Фасовка</t>
  </si>
  <si>
    <t>Базовая цена за кор.</t>
  </si>
  <si>
    <t>Базовая цена за шт. руб.(справочно)</t>
  </si>
  <si>
    <t>Комментарий</t>
  </si>
  <si>
    <t>Ожидаемая дата поступления в свободную продажу</t>
  </si>
  <si>
    <t>VH080-09-01</t>
  </si>
  <si>
    <t>Тюльпаны</t>
  </si>
  <si>
    <t>VH080-16-01</t>
  </si>
  <si>
    <t>Якорь</t>
  </si>
  <si>
    <t>VH080-25-01</t>
  </si>
  <si>
    <t>Штурвал</t>
  </si>
  <si>
    <t>VH080-30-01</t>
  </si>
  <si>
    <t>VH080-36-01</t>
  </si>
  <si>
    <t>Серебряные коньки</t>
  </si>
  <si>
    <t>VH080-49-01</t>
  </si>
  <si>
    <t>Рождество</t>
  </si>
  <si>
    <t>картон</t>
  </si>
  <si>
    <t>VH080-64-01</t>
  </si>
  <si>
    <t>Остров Формоза</t>
  </si>
  <si>
    <t>VH080-100-02</t>
  </si>
  <si>
    <t>Оранжевый генерал</t>
  </si>
  <si>
    <t>VH100-09-01</t>
  </si>
  <si>
    <t>VH100-12-01</t>
  </si>
  <si>
    <t>Корвет</t>
  </si>
  <si>
    <t>VH100-16-01</t>
  </si>
  <si>
    <t>VH100-19-01</t>
  </si>
  <si>
    <t>Рембрандт</t>
  </si>
  <si>
    <t>VH100-25-02</t>
  </si>
  <si>
    <t>Флотилия</t>
  </si>
  <si>
    <t>VH100-36-01</t>
  </si>
  <si>
    <t>Ратуша</t>
  </si>
  <si>
    <t>VH100-49-01</t>
  </si>
  <si>
    <t>Новый год</t>
  </si>
  <si>
    <t>VH100-49-02</t>
  </si>
  <si>
    <t>Морской Волк</t>
  </si>
  <si>
    <t>Амстердам</t>
  </si>
  <si>
    <t>VH120-16-01</t>
  </si>
  <si>
    <t>VH120-19-01</t>
  </si>
  <si>
    <t>VH120-19-02</t>
  </si>
  <si>
    <t>Санта Клаус</t>
  </si>
  <si>
    <t>VH120-25-01</t>
  </si>
  <si>
    <t>Корабль</t>
  </si>
  <si>
    <t>VH120-49-01</t>
  </si>
  <si>
    <t>VH120-80-01</t>
  </si>
  <si>
    <t>Фрегат</t>
  </si>
  <si>
    <t>VH120-100-01</t>
  </si>
  <si>
    <t>Имперский фейерверк</t>
  </si>
  <si>
    <t>VH-COMBI-05</t>
  </si>
  <si>
    <t>Оранжевая республика</t>
  </si>
  <si>
    <t>0,8"-1"-1,25"</t>
  </si>
  <si>
    <t>VH-COMBI-06</t>
  </si>
  <si>
    <t>Адмиралтейство</t>
  </si>
  <si>
    <t>0,8"-1",-1,25"</t>
  </si>
  <si>
    <t>VH-FAN-02</t>
  </si>
  <si>
    <t>Кюрасао</t>
  </si>
  <si>
    <t>fan 0,8"</t>
  </si>
  <si>
    <t>VH-FAN-04</t>
  </si>
  <si>
    <t>Тасмания</t>
  </si>
  <si>
    <t>fan 1"</t>
  </si>
  <si>
    <t>VH-FAN-06</t>
  </si>
  <si>
    <t>www.premier-salut.ru</t>
  </si>
  <si>
    <r>
      <t>E-mail:</t>
    </r>
    <r>
      <rPr>
        <sz val="10"/>
        <rFont val="Arial Narrow"/>
        <family val="2"/>
        <charset val="204"/>
      </rPr>
      <t xml:space="preserve"> ps@premier-salut.ru</t>
    </r>
  </si>
  <si>
    <t>Петарды</t>
  </si>
  <si>
    <t>K0101</t>
  </si>
  <si>
    <t>Корсар 1</t>
  </si>
  <si>
    <t>24/10/60</t>
  </si>
  <si>
    <t>K0101C</t>
  </si>
  <si>
    <t>Корсар 1 2 хлопка</t>
  </si>
  <si>
    <t>24/30/20</t>
  </si>
  <si>
    <t>Корсар 1 3 хлопка</t>
  </si>
  <si>
    <t>K0201</t>
  </si>
  <si>
    <t>Корсар 2</t>
  </si>
  <si>
    <t>с шоубоксом</t>
  </si>
  <si>
    <t>K0201B</t>
  </si>
  <si>
    <t>Корсар 2 2 хлопка</t>
  </si>
  <si>
    <t>12/30/20</t>
  </si>
  <si>
    <t>Корсар 2 3 хлопка</t>
  </si>
  <si>
    <t>K0301</t>
  </si>
  <si>
    <t>Корсар 3</t>
  </si>
  <si>
    <t>25/10/20</t>
  </si>
  <si>
    <t>Корсар 3 2 хлопка</t>
  </si>
  <si>
    <t>K0401</t>
  </si>
  <si>
    <t>Корсар 4</t>
  </si>
  <si>
    <t>8/24/12</t>
  </si>
  <si>
    <t>K0401A</t>
  </si>
  <si>
    <t>Корсар 4 2 хлопка</t>
  </si>
  <si>
    <t>Пиратка 38*15 мм</t>
  </si>
  <si>
    <t>16/16/6</t>
  </si>
  <si>
    <t xml:space="preserve">маленький размер - мощный хлопок </t>
  </si>
  <si>
    <t>Супер Пиратка 72*15 мм</t>
  </si>
  <si>
    <t xml:space="preserve">средний размер - мощный хлопок </t>
  </si>
  <si>
    <t>K0601</t>
  </si>
  <si>
    <t>Корсар 6</t>
  </si>
  <si>
    <t>2/50/6</t>
  </si>
  <si>
    <t>K0801</t>
  </si>
  <si>
    <t>Корсар 8</t>
  </si>
  <si>
    <t>50/6</t>
  </si>
  <si>
    <t>K1201</t>
  </si>
  <si>
    <t>Корсар 12</t>
  </si>
  <si>
    <t>32/6</t>
  </si>
  <si>
    <t>K1301</t>
  </si>
  <si>
    <t>48/5</t>
  </si>
  <si>
    <t>K1401</t>
  </si>
  <si>
    <t>K1501A</t>
  </si>
  <si>
    <t>Щелкунчик связки из 2-го корсара по 20 шт.</t>
  </si>
  <si>
    <t>16/60/20</t>
  </si>
  <si>
    <t>K1601</t>
  </si>
  <si>
    <t>Пирамида (треугольники фитильные)</t>
  </si>
  <si>
    <t>100/20</t>
  </si>
  <si>
    <t>Петарда плоская, эффект- мощный хлопок.</t>
  </si>
  <si>
    <t>K1602</t>
  </si>
  <si>
    <t>Батареи салютов малых калибров</t>
  </si>
  <si>
    <t>01001</t>
  </si>
  <si>
    <t>0,2"</t>
  </si>
  <si>
    <t>1/30/4</t>
  </si>
  <si>
    <t>01002</t>
  </si>
  <si>
    <t>1/80/1</t>
  </si>
  <si>
    <t>01003</t>
  </si>
  <si>
    <t>1/60/1</t>
  </si>
  <si>
    <t>01004</t>
  </si>
  <si>
    <t>Балет</t>
  </si>
  <si>
    <t>10+</t>
  </si>
  <si>
    <t>0,6"</t>
  </si>
  <si>
    <t>24/4</t>
  </si>
  <si>
    <t xml:space="preserve"> +фонтан</t>
  </si>
  <si>
    <t>0,5"</t>
  </si>
  <si>
    <t>0,7"</t>
  </si>
  <si>
    <t xml:space="preserve"> 0,8"</t>
  </si>
  <si>
    <t>24/1</t>
  </si>
  <si>
    <t>01012</t>
  </si>
  <si>
    <t>"Старт", "Финиш". Набор из 2-х батарей</t>
  </si>
  <si>
    <t>24/2</t>
  </si>
  <si>
    <t>Набор из 2-х батарей, цена за 1 шт.</t>
  </si>
  <si>
    <t>01014</t>
  </si>
  <si>
    <t>Башня</t>
  </si>
  <si>
    <t>01017</t>
  </si>
  <si>
    <t>Рамзес</t>
  </si>
  <si>
    <t>01018</t>
  </si>
  <si>
    <t>01020</t>
  </si>
  <si>
    <t>Атлант</t>
  </si>
  <si>
    <t>01021</t>
  </si>
  <si>
    <t>1000 и одна ночь</t>
  </si>
  <si>
    <t>24+</t>
  </si>
  <si>
    <t xml:space="preserve"> +фонтан/2уровня высоты</t>
  </si>
  <si>
    <t>01024</t>
  </si>
  <si>
    <t>Хелоуин</t>
  </si>
  <si>
    <t>01025</t>
  </si>
  <si>
    <t>Тутанхамон</t>
  </si>
  <si>
    <t>1"</t>
  </si>
  <si>
    <t>01027</t>
  </si>
  <si>
    <t>Вальс</t>
  </si>
  <si>
    <t>01028</t>
  </si>
  <si>
    <t>12/1</t>
  </si>
  <si>
    <t>01031</t>
  </si>
  <si>
    <t>Торпедоносец</t>
  </si>
  <si>
    <t>01035</t>
  </si>
  <si>
    <t>Созвездие Овен</t>
  </si>
  <si>
    <t>01036</t>
  </si>
  <si>
    <t>Красная машина</t>
  </si>
  <si>
    <t>Батареи салютов комбинированные и многозарядные малых калибров</t>
  </si>
  <si>
    <t>01100</t>
  </si>
  <si>
    <t>Колесо обозрения</t>
  </si>
  <si>
    <t>0,8"</t>
  </si>
  <si>
    <t>01101</t>
  </si>
  <si>
    <t>Сказка</t>
  </si>
  <si>
    <t>01103</t>
  </si>
  <si>
    <t>01104</t>
  </si>
  <si>
    <t>Баталия</t>
  </si>
  <si>
    <t>Супербатарея extra-large</t>
  </si>
  <si>
    <t>01106</t>
  </si>
  <si>
    <t>Демонстрация</t>
  </si>
  <si>
    <t>01107</t>
  </si>
  <si>
    <t>99+</t>
  </si>
  <si>
    <t>01113</t>
  </si>
  <si>
    <t>Снеговик</t>
  </si>
  <si>
    <t xml:space="preserve"> 0,8"-1"-1,25"</t>
  </si>
  <si>
    <t>01116</t>
  </si>
  <si>
    <t>Высотка</t>
  </si>
  <si>
    <t>01117</t>
  </si>
  <si>
    <t>199+</t>
  </si>
  <si>
    <t>Супербатарея extra-large +фонтан</t>
  </si>
  <si>
    <t>01118</t>
  </si>
  <si>
    <t>Шок и Трепет</t>
  </si>
  <si>
    <t>0,8"-1"-1,25"-1,5"-2"</t>
  </si>
  <si>
    <t>01125</t>
  </si>
  <si>
    <t>Смоленская крепость</t>
  </si>
  <si>
    <t>Батареи салютов от 1,25"</t>
  </si>
  <si>
    <t>1,25"</t>
  </si>
  <si>
    <t>01205</t>
  </si>
  <si>
    <t>Дюжина</t>
  </si>
  <si>
    <t>01213</t>
  </si>
  <si>
    <t>Караван</t>
  </si>
  <si>
    <t>9+</t>
  </si>
  <si>
    <t>01218</t>
  </si>
  <si>
    <t>01219</t>
  </si>
  <si>
    <t>01220</t>
  </si>
  <si>
    <t>Дельфин</t>
  </si>
  <si>
    <t>01223</t>
  </si>
  <si>
    <t>Персей</t>
  </si>
  <si>
    <t>01225</t>
  </si>
  <si>
    <t>01226</t>
  </si>
  <si>
    <t>Созвездие Лев</t>
  </si>
  <si>
    <t>01229</t>
  </si>
  <si>
    <t>Чародеи</t>
  </si>
  <si>
    <t>01230</t>
  </si>
  <si>
    <t>Созвездие Телец</t>
  </si>
  <si>
    <t>КУБ</t>
  </si>
  <si>
    <t>01231</t>
  </si>
  <si>
    <t xml:space="preserve">Три белых коня </t>
  </si>
  <si>
    <t>01301</t>
  </si>
  <si>
    <t>Праздничный залп</t>
  </si>
  <si>
    <t>01302</t>
  </si>
  <si>
    <t>01310</t>
  </si>
  <si>
    <t>Русское Зодчество</t>
  </si>
  <si>
    <t>01227</t>
  </si>
  <si>
    <t>Евпатий Коловрат</t>
  </si>
  <si>
    <t>01316</t>
  </si>
  <si>
    <t>01319</t>
  </si>
  <si>
    <t>01322</t>
  </si>
  <si>
    <t>Восточный базар</t>
  </si>
  <si>
    <t>35+</t>
  </si>
  <si>
    <t>01325</t>
  </si>
  <si>
    <t>Громовержец</t>
  </si>
  <si>
    <t>01326</t>
  </si>
  <si>
    <t>01400</t>
  </si>
  <si>
    <t>01402</t>
  </si>
  <si>
    <t>Пантера</t>
  </si>
  <si>
    <t>01403</t>
  </si>
  <si>
    <t>Золотое сердце</t>
  </si>
  <si>
    <t>01404</t>
  </si>
  <si>
    <t>01405</t>
  </si>
  <si>
    <t>01406</t>
  </si>
  <si>
    <t>01407</t>
  </si>
  <si>
    <t>01408</t>
  </si>
  <si>
    <t>Осьминог</t>
  </si>
  <si>
    <t>01409</t>
  </si>
  <si>
    <t>01416</t>
  </si>
  <si>
    <t>Октава</t>
  </si>
  <si>
    <t>01417</t>
  </si>
  <si>
    <t>Барон Мюнхгаузен</t>
  </si>
  <si>
    <t>01419</t>
  </si>
  <si>
    <t>01500</t>
  </si>
  <si>
    <t>Опера</t>
  </si>
  <si>
    <t>01501</t>
  </si>
  <si>
    <t>Тадж-Махал</t>
  </si>
  <si>
    <t>01502</t>
  </si>
  <si>
    <t>Эйфелева башня</t>
  </si>
  <si>
    <t>01504</t>
  </si>
  <si>
    <t>2 уровня высоты</t>
  </si>
  <si>
    <t>01505</t>
  </si>
  <si>
    <t>01507</t>
  </si>
  <si>
    <t>01508</t>
  </si>
  <si>
    <t>Султан</t>
  </si>
  <si>
    <t>01513</t>
  </si>
  <si>
    <t>01516</t>
  </si>
  <si>
    <t>01517</t>
  </si>
  <si>
    <t>Воробьевы горы</t>
  </si>
  <si>
    <t>01518</t>
  </si>
  <si>
    <t>01521</t>
  </si>
  <si>
    <t>Супербатарея extra-large.  Высота изделия 11"</t>
  </si>
  <si>
    <t>01522</t>
  </si>
  <si>
    <t>Магнат</t>
  </si>
  <si>
    <t>Президент</t>
  </si>
  <si>
    <t>Веерные батареи салютов</t>
  </si>
  <si>
    <t>01700</t>
  </si>
  <si>
    <t>Колибри</t>
  </si>
  <si>
    <t>01701</t>
  </si>
  <si>
    <t>01702</t>
  </si>
  <si>
    <t>Журавли</t>
  </si>
  <si>
    <t>01703</t>
  </si>
  <si>
    <t>Павлин</t>
  </si>
  <si>
    <t>01711</t>
  </si>
  <si>
    <t>Клест</t>
  </si>
  <si>
    <t>01717</t>
  </si>
  <si>
    <t>Профи Z</t>
  </si>
  <si>
    <t>4 класс</t>
  </si>
  <si>
    <t>01718</t>
  </si>
  <si>
    <t>Профи Панорамный</t>
  </si>
  <si>
    <t>01722</t>
  </si>
  <si>
    <t>Тысяча хризантем</t>
  </si>
  <si>
    <t>01724</t>
  </si>
  <si>
    <t>Армагеддон</t>
  </si>
  <si>
    <t>Дневные батареи салютов</t>
  </si>
  <si>
    <t>01800</t>
  </si>
  <si>
    <t>Аэрошоу</t>
  </si>
  <si>
    <t>1,75"</t>
  </si>
  <si>
    <t>01801</t>
  </si>
  <si>
    <t>Фанат</t>
  </si>
  <si>
    <t>01802</t>
  </si>
  <si>
    <t xml:space="preserve"> "Знамя", веер W, триколор</t>
  </si>
  <si>
    <t>01803</t>
  </si>
  <si>
    <t>Дирижабль, веер</t>
  </si>
  <si>
    <t>Батареи салютов калибра свыше 1,25"</t>
  </si>
  <si>
    <t>01509</t>
  </si>
  <si>
    <t>1,5"</t>
  </si>
  <si>
    <t>01914</t>
  </si>
  <si>
    <t>36</t>
  </si>
  <si>
    <t>2"</t>
  </si>
  <si>
    <t>01915</t>
  </si>
  <si>
    <t>49</t>
  </si>
  <si>
    <t>Рио-де-Жанейро</t>
  </si>
  <si>
    <t>100</t>
  </si>
  <si>
    <t>25</t>
  </si>
  <si>
    <t>2,5"</t>
  </si>
  <si>
    <t>01928</t>
  </si>
  <si>
    <t>Таиланд</t>
  </si>
  <si>
    <t>3"</t>
  </si>
  <si>
    <t>01933</t>
  </si>
  <si>
    <t>Зальцбург</t>
  </si>
  <si>
    <t>16</t>
  </si>
  <si>
    <t>4"</t>
  </si>
  <si>
    <t>01935</t>
  </si>
  <si>
    <t>Лондон</t>
  </si>
  <si>
    <t>Ракеты</t>
  </si>
  <si>
    <t>02001</t>
  </si>
  <si>
    <t>Сириус</t>
  </si>
  <si>
    <t>0,35"</t>
  </si>
  <si>
    <t>25/12/12</t>
  </si>
  <si>
    <t>02003</t>
  </si>
  <si>
    <t>Пульсар (с парашютом)</t>
  </si>
  <si>
    <t>20/8/6</t>
  </si>
  <si>
    <t>02008</t>
  </si>
  <si>
    <t>Туманность Андромеды</t>
  </si>
  <si>
    <t>0,75"</t>
  </si>
  <si>
    <t>24\12</t>
  </si>
  <si>
    <t>02010</t>
  </si>
  <si>
    <t>Магелланово облако</t>
  </si>
  <si>
    <t>0,9"</t>
  </si>
  <si>
    <t>02011</t>
  </si>
  <si>
    <t>Капелла</t>
  </si>
  <si>
    <t>20\6</t>
  </si>
  <si>
    <t>02013</t>
  </si>
  <si>
    <t>Вега</t>
  </si>
  <si>
    <t>1,85"</t>
  </si>
  <si>
    <t>14\4</t>
  </si>
  <si>
    <t>02015</t>
  </si>
  <si>
    <t>Плеяды</t>
  </si>
  <si>
    <t>12\3</t>
  </si>
  <si>
    <t>Наземные и летающие фейерверки</t>
  </si>
  <si>
    <t>03000</t>
  </si>
  <si>
    <t>Мышка</t>
  </si>
  <si>
    <t>03003</t>
  </si>
  <si>
    <t>Жук скарабей (с эффектом в финале)</t>
  </si>
  <si>
    <t>03004</t>
  </si>
  <si>
    <t>03005</t>
  </si>
  <si>
    <t>Трещащие шары</t>
  </si>
  <si>
    <t>32/16/6</t>
  </si>
  <si>
    <t>Шмель</t>
  </si>
  <si>
    <t>300/12</t>
  </si>
  <si>
    <t>Бабочка Махаон</t>
  </si>
  <si>
    <t>1/72/6</t>
  </si>
  <si>
    <t>Бабочка Монарх</t>
  </si>
  <si>
    <t>1/72/3</t>
  </si>
  <si>
    <t>Стрижи (самолетики)</t>
  </si>
  <si>
    <t>1/60/6</t>
  </si>
  <si>
    <t>Фонтаны</t>
  </si>
  <si>
    <t>Настольные</t>
  </si>
  <si>
    <t>04100</t>
  </si>
  <si>
    <t>Этна</t>
  </si>
  <si>
    <t>50/10</t>
  </si>
  <si>
    <t>04105</t>
  </si>
  <si>
    <t>Гейзер</t>
  </si>
  <si>
    <t>6"</t>
  </si>
  <si>
    <t>16/6</t>
  </si>
  <si>
    <t>48/4</t>
  </si>
  <si>
    <t>04109</t>
  </si>
  <si>
    <t>Килиманджаро</t>
  </si>
  <si>
    <t>8"</t>
  </si>
  <si>
    <t>16/4</t>
  </si>
  <si>
    <t>04111</t>
  </si>
  <si>
    <t>Эверест</t>
  </si>
  <si>
    <t>11"</t>
  </si>
  <si>
    <t>04200</t>
  </si>
  <si>
    <t>Увертюра</t>
  </si>
  <si>
    <t>04201</t>
  </si>
  <si>
    <t>Летающая тарелка</t>
  </si>
  <si>
    <t>04203</t>
  </si>
  <si>
    <t>Горшочек, вари!</t>
  </si>
  <si>
    <t>04208</t>
  </si>
  <si>
    <t>Сердца и колеса</t>
  </si>
  <si>
    <t>05000</t>
  </si>
  <si>
    <t>Сердце одинарное</t>
  </si>
  <si>
    <t>05001</t>
  </si>
  <si>
    <t>Сердце двойное</t>
  </si>
  <si>
    <t>05003</t>
  </si>
  <si>
    <t>Колесо малое</t>
  </si>
  <si>
    <t>12"</t>
  </si>
  <si>
    <t>05004</t>
  </si>
  <si>
    <t>Колесо большое</t>
  </si>
  <si>
    <t>18"</t>
  </si>
  <si>
    <t>Бенгальские огни</t>
  </si>
  <si>
    <t>07000</t>
  </si>
  <si>
    <t>Новогодние 7"</t>
  </si>
  <si>
    <t>7"</t>
  </si>
  <si>
    <t>20/50/10</t>
  </si>
  <si>
    <t>07001</t>
  </si>
  <si>
    <t>Праздничные 8"</t>
  </si>
  <si>
    <t>48/12/10</t>
  </si>
  <si>
    <t>07002</t>
  </si>
  <si>
    <t>Праздничные 16"</t>
  </si>
  <si>
    <t>16"</t>
  </si>
  <si>
    <t>07003</t>
  </si>
  <si>
    <t>Праздничные 24" (толстые)</t>
  </si>
  <si>
    <t>24"</t>
  </si>
  <si>
    <t>Фестивальные шары</t>
  </si>
  <si>
    <t>15/6</t>
  </si>
  <si>
    <t>цена за упаковку из 6-ти шаров</t>
  </si>
  <si>
    <t>08002</t>
  </si>
  <si>
    <t>Персидская ночь</t>
  </si>
  <si>
    <t>08003</t>
  </si>
  <si>
    <t>Золото инков</t>
  </si>
  <si>
    <t>1,75”</t>
  </si>
  <si>
    <t>12/6</t>
  </si>
  <si>
    <t>08004</t>
  </si>
  <si>
    <t>Ацтека</t>
  </si>
  <si>
    <t>2”</t>
  </si>
  <si>
    <t>08009</t>
  </si>
  <si>
    <t>Мортира 45</t>
  </si>
  <si>
    <t>6</t>
  </si>
  <si>
    <t>цилиндры</t>
  </si>
  <si>
    <t>цена за упаковку из 6-ти цилиндров</t>
  </si>
  <si>
    <t>08010</t>
  </si>
  <si>
    <t>Доп. заряды к арт. 08009</t>
  </si>
  <si>
    <t>24/6</t>
  </si>
  <si>
    <t>Римские свечи</t>
  </si>
  <si>
    <t>12001</t>
  </si>
  <si>
    <t>Гирлянда 10</t>
  </si>
  <si>
    <t>80/12</t>
  </si>
  <si>
    <t>12003</t>
  </si>
  <si>
    <t>Звездопад 20</t>
  </si>
  <si>
    <t>48/12</t>
  </si>
  <si>
    <t>Звездопад 30</t>
  </si>
  <si>
    <t>30</t>
  </si>
  <si>
    <t>36/12</t>
  </si>
  <si>
    <t>Звездопад 60</t>
  </si>
  <si>
    <t>12005</t>
  </si>
  <si>
    <t>Новогодний Хоровод</t>
  </si>
  <si>
    <t>36/4</t>
  </si>
  <si>
    <t>12006</t>
  </si>
  <si>
    <t>Дед Мороз</t>
  </si>
  <si>
    <t>12007</t>
  </si>
  <si>
    <t>Эльбрус</t>
  </si>
  <si>
    <t>12008</t>
  </si>
  <si>
    <t>Казбек</t>
  </si>
  <si>
    <t>12009</t>
  </si>
  <si>
    <t>Чегет</t>
  </si>
  <si>
    <t>12010</t>
  </si>
  <si>
    <t>Пион</t>
  </si>
  <si>
    <t>12012</t>
  </si>
  <si>
    <t>Чайная Роза</t>
  </si>
  <si>
    <t>12013</t>
  </si>
  <si>
    <t>Плутон</t>
  </si>
  <si>
    <t>12014</t>
  </si>
  <si>
    <t>Солнце</t>
  </si>
  <si>
    <t>12015</t>
  </si>
  <si>
    <t>Фобос</t>
  </si>
  <si>
    <t>12016</t>
  </si>
  <si>
    <t>Меркурий</t>
  </si>
  <si>
    <t>36/2</t>
  </si>
  <si>
    <t>12018</t>
  </si>
  <si>
    <t>Луна</t>
  </si>
  <si>
    <t>12022</t>
  </si>
  <si>
    <t>Юпитер</t>
  </si>
  <si>
    <t>12023</t>
  </si>
  <si>
    <t>Сатурн</t>
  </si>
  <si>
    <t>12024</t>
  </si>
  <si>
    <t>Уран</t>
  </si>
  <si>
    <t>12025</t>
  </si>
  <si>
    <t>Нептун</t>
  </si>
  <si>
    <t>12026</t>
  </si>
  <si>
    <t>Яблочный цвет</t>
  </si>
  <si>
    <t>12027</t>
  </si>
  <si>
    <t>Фиалка</t>
  </si>
  <si>
    <t>12029</t>
  </si>
  <si>
    <t>Анютины глазки</t>
  </si>
  <si>
    <t>12035</t>
  </si>
  <si>
    <t>Хризантема</t>
  </si>
  <si>
    <t>12037</t>
  </si>
  <si>
    <t>Маки</t>
  </si>
  <si>
    <t>12050</t>
  </si>
  <si>
    <t>Гаубица</t>
  </si>
  <si>
    <t>25/1</t>
  </si>
  <si>
    <t>12051</t>
  </si>
  <si>
    <t>K0301B</t>
  </si>
  <si>
    <t>Корсар 3 3 хлопка</t>
  </si>
  <si>
    <t>15/10/20</t>
  </si>
  <si>
    <t>нет в наличии</t>
  </si>
  <si>
    <t>K1501</t>
  </si>
  <si>
    <t>Цикада связки по 30 из 1-го корсара</t>
  </si>
  <si>
    <t>12/10/10/30</t>
  </si>
  <si>
    <t>01013</t>
  </si>
  <si>
    <t>Офицер</t>
  </si>
  <si>
    <t>01015</t>
  </si>
  <si>
    <t>"Торнадо", "Метеорит". Набор из 2-х батарей</t>
  </si>
  <si>
    <t>Набор из 2-х батарей, цена за 1шт.</t>
  </si>
  <si>
    <t>01016</t>
  </si>
  <si>
    <t>Ферзь</t>
  </si>
  <si>
    <t>01023</t>
  </si>
  <si>
    <t>01032</t>
  </si>
  <si>
    <t>На линии огня</t>
  </si>
  <si>
    <t>01112</t>
  </si>
  <si>
    <t>Олимпийский огонь</t>
  </si>
  <si>
    <t>01124</t>
  </si>
  <si>
    <t>Поклонная гора</t>
  </si>
  <si>
    <t>01204</t>
  </si>
  <si>
    <t>01221</t>
  </si>
  <si>
    <t>01222</t>
  </si>
  <si>
    <t>Созвездие Весы</t>
  </si>
  <si>
    <t>01224</t>
  </si>
  <si>
    <t>Созвездие Стрелец</t>
  </si>
  <si>
    <t>01233</t>
  </si>
  <si>
    <t>01306</t>
  </si>
  <si>
    <t>01307</t>
  </si>
  <si>
    <t>01308</t>
  </si>
  <si>
    <t>Рококо</t>
  </si>
  <si>
    <t>01309</t>
  </si>
  <si>
    <t>Ренессанс</t>
  </si>
  <si>
    <t>01321</t>
  </si>
  <si>
    <t>01324</t>
  </si>
  <si>
    <t>01410</t>
  </si>
  <si>
    <t>Слон</t>
  </si>
  <si>
    <t>01420</t>
  </si>
  <si>
    <t>01503</t>
  </si>
  <si>
    <t>01512</t>
  </si>
  <si>
    <t>Звездное небо</t>
  </si>
  <si>
    <t>01519</t>
  </si>
  <si>
    <t>Цеппелин</t>
  </si>
  <si>
    <t>01704</t>
  </si>
  <si>
    <t>Филин</t>
  </si>
  <si>
    <t>01705</t>
  </si>
  <si>
    <t>Свиристель</t>
  </si>
  <si>
    <t>01709</t>
  </si>
  <si>
    <t>Попугай</t>
  </si>
  <si>
    <t>01710</t>
  </si>
  <si>
    <t>01723</t>
  </si>
  <si>
    <t>1" - 1,25"</t>
  </si>
  <si>
    <t>01930</t>
  </si>
  <si>
    <t>Венеция</t>
  </si>
  <si>
    <t>01931</t>
  </si>
  <si>
    <t>Копенгаген</t>
  </si>
  <si>
    <t>9</t>
  </si>
  <si>
    <t>15/12/20</t>
  </si>
  <si>
    <t>12011</t>
  </si>
  <si>
    <t>Ромашка</t>
  </si>
  <si>
    <t>12017</t>
  </si>
  <si>
    <t>Венера</t>
  </si>
  <si>
    <t>12021</t>
  </si>
  <si>
    <t>Марс</t>
  </si>
  <si>
    <t>12034</t>
  </si>
  <si>
    <t>Георгин</t>
  </si>
  <si>
    <t>12036</t>
  </si>
  <si>
    <t>Ирис</t>
  </si>
  <si>
    <t>Город Утрехт</t>
  </si>
  <si>
    <t>Королевский Талер</t>
  </si>
  <si>
    <t>Площадь Дам</t>
  </si>
  <si>
    <t>Морское сражение</t>
  </si>
  <si>
    <t>Базовая цена за шт./руб. (справочно)</t>
  </si>
  <si>
    <t>Пиротехническая продукция торговой марки "Премьер Салют"</t>
  </si>
  <si>
    <t>ВИДЕО</t>
  </si>
  <si>
    <t>Винсент Ван Гог</t>
  </si>
  <si>
    <t>картон, увеличенный размер</t>
  </si>
  <si>
    <t>Треуголка (треугольники фитильные малые)</t>
  </si>
  <si>
    <t>Новогодняя симфония</t>
  </si>
  <si>
    <t>Факелы</t>
  </si>
  <si>
    <t>VH080-10-01</t>
  </si>
  <si>
    <t>VH080-19-01</t>
  </si>
  <si>
    <t>VH080-25-02</t>
  </si>
  <si>
    <t>VH080-49-02</t>
  </si>
  <si>
    <t>VH080-100-01</t>
  </si>
  <si>
    <t>VH080-150-01</t>
  </si>
  <si>
    <t>VH100-16-02</t>
  </si>
  <si>
    <t>VH100-20-01</t>
  </si>
  <si>
    <t>VH100-49-03</t>
  </si>
  <si>
    <t>VH100-100-02</t>
  </si>
  <si>
    <t>VH100-144-01</t>
  </si>
  <si>
    <t>VH120-13-01</t>
  </si>
  <si>
    <t>VH120-19-03</t>
  </si>
  <si>
    <t>VH120-36-01</t>
  </si>
  <si>
    <t>VH120-49-02</t>
  </si>
  <si>
    <t>VH120-100-02</t>
  </si>
  <si>
    <t>VH-COMBI-02</t>
  </si>
  <si>
    <t>VH-COMBI-03</t>
  </si>
  <si>
    <t>VH-COMBI-08</t>
  </si>
  <si>
    <t>VH-RC-06-6-01</t>
  </si>
  <si>
    <t>VH-RC-06-6-02</t>
  </si>
  <si>
    <t>Малые пиротехнические изделия</t>
  </si>
  <si>
    <t>Батареи салютов</t>
  </si>
  <si>
    <t>римская свеча</t>
  </si>
  <si>
    <t>Бриз</t>
  </si>
  <si>
    <t>Циклон</t>
  </si>
  <si>
    <t>0,8"-1"</t>
  </si>
  <si>
    <t>Роза ветров</t>
  </si>
  <si>
    <t>Аякс</t>
  </si>
  <si>
    <t>Попутный ветер</t>
  </si>
  <si>
    <t>Гульден</t>
  </si>
  <si>
    <t>Европа</t>
  </si>
  <si>
    <t>Флагман</t>
  </si>
  <si>
    <t>Бермудский треугольник</t>
  </si>
  <si>
    <t>Компас</t>
  </si>
  <si>
    <t>Косатка</t>
  </si>
  <si>
    <t>Эскадра</t>
  </si>
  <si>
    <t>Летучий Голландец</t>
  </si>
  <si>
    <t>Ночной дозор</t>
  </si>
  <si>
    <t>Ярмарка</t>
  </si>
  <si>
    <t>Абордаж</t>
  </si>
  <si>
    <t>Китобой</t>
  </si>
  <si>
    <t>Канонир</t>
  </si>
  <si>
    <t>Мираж</t>
  </si>
  <si>
    <t>S.O.S.</t>
  </si>
  <si>
    <t>Самострелки</t>
  </si>
  <si>
    <t>12/50/50</t>
  </si>
  <si>
    <t>Петарды ударного действия, "поп-корн"</t>
  </si>
  <si>
    <t>04209</t>
  </si>
  <si>
    <t>Ледяной огонь</t>
  </si>
  <si>
    <t>Розарий</t>
  </si>
  <si>
    <t>видео</t>
  </si>
  <si>
    <t xml:space="preserve"> +фонтан. Картон</t>
  </si>
  <si>
    <t>50/10/20</t>
  </si>
  <si>
    <t>36/10/20</t>
  </si>
  <si>
    <t>4/30/4</t>
  </si>
  <si>
    <t>Бригантина</t>
  </si>
  <si>
    <t>веер, 3 класс</t>
  </si>
  <si>
    <t>VH100-96-01</t>
  </si>
  <si>
    <t>VH080-36-02</t>
  </si>
  <si>
    <t>VH080-300-01</t>
  </si>
  <si>
    <t>VH100-25-01</t>
  </si>
  <si>
    <t>VH100-36-02</t>
  </si>
  <si>
    <t>VH100-49-04</t>
  </si>
  <si>
    <t>VH100-150-01</t>
  </si>
  <si>
    <t>VH100-200-01</t>
  </si>
  <si>
    <t>VH120-09-01</t>
  </si>
  <si>
    <t>VH120-150-01</t>
  </si>
  <si>
    <t>VH-COMBI-10</t>
  </si>
  <si>
    <t>VH-COMBI-13</t>
  </si>
  <si>
    <t>VH-FO-06</t>
  </si>
  <si>
    <t>VH-FO-08</t>
  </si>
  <si>
    <t>VH-FO-09</t>
  </si>
  <si>
    <t>VH-RC-08-5-02</t>
  </si>
  <si>
    <t>VH-RC-08-8-01</t>
  </si>
  <si>
    <t>VH-RC-08-8-02</t>
  </si>
  <si>
    <t>фонтан</t>
  </si>
  <si>
    <t>Батарея ракет Зенитка 25 зар.</t>
  </si>
  <si>
    <t>Батарея ракет Зенитка 50 зар.</t>
  </si>
  <si>
    <t>48</t>
  </si>
  <si>
    <t>24</t>
  </si>
  <si>
    <t>12</t>
  </si>
  <si>
    <t>18</t>
  </si>
  <si>
    <t>8</t>
  </si>
  <si>
    <t>10</t>
  </si>
  <si>
    <t>4</t>
  </si>
  <si>
    <t>01108</t>
  </si>
  <si>
    <t>01109</t>
  </si>
  <si>
    <t>01126</t>
  </si>
  <si>
    <t>2</t>
  </si>
  <si>
    <t>1</t>
  </si>
  <si>
    <t>01714</t>
  </si>
  <si>
    <t>01719</t>
  </si>
  <si>
    <t>01909</t>
  </si>
  <si>
    <t>5</t>
  </si>
  <si>
    <t>3</t>
  </si>
  <si>
    <t>ООО «Премьер Салют»</t>
  </si>
  <si>
    <r>
      <t>Тел./Факс</t>
    </r>
    <r>
      <rPr>
        <sz val="10"/>
        <rFont val="Arial Narrow"/>
        <family val="2"/>
        <charset val="204"/>
      </rPr>
      <t>: +7 (495) 150-52-46</t>
    </r>
  </si>
  <si>
    <t>20/2</t>
  </si>
  <si>
    <t>30/2</t>
  </si>
  <si>
    <t>Батарея ракет Зенитка 100 зар.</t>
  </si>
  <si>
    <t xml:space="preserve">Пиротехника торговой марки "Летучий Голландец" 
(De vliegende hollander) Нидерланды. </t>
  </si>
  <si>
    <t>Premium36</t>
  </si>
  <si>
    <t>K0302</t>
  </si>
  <si>
    <t>18/4</t>
  </si>
  <si>
    <t>Зеландия</t>
  </si>
  <si>
    <t xml:space="preserve">Парадокс </t>
  </si>
  <si>
    <t>Спринтер</t>
  </si>
  <si>
    <t>Нидерланды</t>
  </si>
  <si>
    <t xml:space="preserve">Таверна </t>
  </si>
  <si>
    <t>Барракуда</t>
  </si>
  <si>
    <t xml:space="preserve">220 вольт </t>
  </si>
  <si>
    <t>Вулкан</t>
  </si>
  <si>
    <t>Пороховая бочка</t>
  </si>
  <si>
    <t>Кратер</t>
  </si>
  <si>
    <t>Вихрь</t>
  </si>
  <si>
    <t>Шторм</t>
  </si>
  <si>
    <t>VH100-300-01</t>
  </si>
  <si>
    <t>VH-COMBI-04</t>
  </si>
  <si>
    <t>1"-1,25"</t>
  </si>
  <si>
    <t>VH-COMBI-11</t>
  </si>
  <si>
    <t>VH-RC-08-5-01</t>
  </si>
  <si>
    <t>VH-RC-08-8-03</t>
  </si>
  <si>
    <t>колесо</t>
  </si>
  <si>
    <t>VH-RI-01</t>
  </si>
  <si>
    <t>3/1</t>
  </si>
  <si>
    <t>K0203</t>
  </si>
  <si>
    <t>K0103</t>
  </si>
  <si>
    <t>K0405</t>
  </si>
  <si>
    <t>Коллекция</t>
  </si>
  <si>
    <t>Барабан</t>
  </si>
  <si>
    <t>Вокруг света</t>
  </si>
  <si>
    <t xml:space="preserve"> 1"-1,25"-1,4"</t>
  </si>
  <si>
    <t>0,8"-1",-1,25"-1,4"</t>
  </si>
  <si>
    <t>01127</t>
  </si>
  <si>
    <t>Эйфория</t>
  </si>
  <si>
    <t>1"-1,25"-1,4"</t>
  </si>
  <si>
    <t>Снежная крепость</t>
  </si>
  <si>
    <t>Барокко</t>
  </si>
  <si>
    <t>Модерн</t>
  </si>
  <si>
    <t>Новогодняя елка</t>
  </si>
  <si>
    <t xml:space="preserve">Червонец </t>
  </si>
  <si>
    <t xml:space="preserve">Исполин </t>
  </si>
  <si>
    <t>Праздник</t>
  </si>
  <si>
    <t>Свадебный</t>
  </si>
  <si>
    <t>Бенгальский тигр</t>
  </si>
  <si>
    <t>Царь зверей</t>
  </si>
  <si>
    <t>Питон</t>
  </si>
  <si>
    <t>Корпоратив</t>
  </si>
  <si>
    <t>Алые паруса</t>
  </si>
  <si>
    <t>Premium100</t>
  </si>
  <si>
    <t>Лунное затмение</t>
  </si>
  <si>
    <t>Кремлевские звезды</t>
  </si>
  <si>
    <t>Дятел</t>
  </si>
  <si>
    <t>Ястреб</t>
  </si>
  <si>
    <t xml:space="preserve">Сокол </t>
  </si>
  <si>
    <t>Архитектор</t>
  </si>
  <si>
    <t xml:space="preserve">Атака </t>
  </si>
  <si>
    <t>Премьера</t>
  </si>
  <si>
    <t>Дальнобойщик</t>
  </si>
  <si>
    <t>Стальные гиганты</t>
  </si>
  <si>
    <t>12/2</t>
  </si>
  <si>
    <t>12002</t>
  </si>
  <si>
    <t>12004</t>
  </si>
  <si>
    <t>Бук</t>
  </si>
  <si>
    <t>16/5/5</t>
  </si>
  <si>
    <t>Полночь *</t>
  </si>
  <si>
    <t>Созвездие Козерог *</t>
  </si>
  <si>
    <t>Premium19 *</t>
  </si>
  <si>
    <t>Полковник *</t>
  </si>
  <si>
    <t>Premium49 *</t>
  </si>
  <si>
    <t>Сокровища Агры *</t>
  </si>
  <si>
    <t>Панорама *</t>
  </si>
  <si>
    <t>Император *</t>
  </si>
  <si>
    <t>Царский салют *</t>
  </si>
  <si>
    <t>Молния</t>
  </si>
  <si>
    <t xml:space="preserve">Ветряная мельница </t>
  </si>
  <si>
    <t>Бородинская битва</t>
  </si>
  <si>
    <t>Единорог</t>
  </si>
  <si>
    <t>Красная площадь</t>
  </si>
  <si>
    <r>
      <t xml:space="preserve">Майский жук </t>
    </r>
    <r>
      <rPr>
        <sz val="10"/>
        <color indexed="10"/>
        <rFont val="Arial Narrow"/>
        <family val="2"/>
        <charset val="204"/>
      </rPr>
      <t>(с треском в финале)</t>
    </r>
  </si>
  <si>
    <t>Батареи салютов бытового назначения, выделенные зеленым цветом *, сделаны с применением профессионального сырья с улучшенными характеристиками.</t>
  </si>
  <si>
    <r>
      <t xml:space="preserve">Супербатарея extra-large </t>
    </r>
    <r>
      <rPr>
        <b/>
        <sz val="10"/>
        <color indexed="50"/>
        <rFont val="Arial Narrow"/>
        <family val="2"/>
        <charset val="204"/>
      </rPr>
      <t>3 класс</t>
    </r>
  </si>
  <si>
    <t>3 класс</t>
  </si>
  <si>
    <t>03014</t>
  </si>
  <si>
    <t>03015</t>
  </si>
  <si>
    <t>03016</t>
  </si>
  <si>
    <t>03017</t>
  </si>
  <si>
    <t>17003</t>
  </si>
  <si>
    <t>17001</t>
  </si>
  <si>
    <t>17002</t>
  </si>
  <si>
    <t>K1701</t>
  </si>
  <si>
    <r>
      <t>Кракен</t>
    </r>
    <r>
      <rPr>
        <sz val="10"/>
        <color indexed="10"/>
        <rFont val="Arial Narrow"/>
        <family val="2"/>
        <charset val="204"/>
      </rPr>
      <t/>
    </r>
  </si>
  <si>
    <r>
      <t>Глобус</t>
    </r>
    <r>
      <rPr>
        <sz val="10"/>
        <color indexed="10"/>
        <rFont val="Arial Narrow"/>
        <family val="2"/>
        <charset val="204"/>
      </rPr>
      <t/>
    </r>
  </si>
  <si>
    <t>Бременские музыканты</t>
  </si>
  <si>
    <r>
      <t>Трубадур</t>
    </r>
    <r>
      <rPr>
        <sz val="10"/>
        <color indexed="10"/>
        <rFont val="Arial Narrow"/>
        <family val="2"/>
        <charset val="204"/>
      </rPr>
      <t/>
    </r>
  </si>
  <si>
    <t>Атлантика</t>
  </si>
  <si>
    <t>Домик</t>
  </si>
  <si>
    <r>
      <rPr>
        <sz val="10"/>
        <rFont val="Arial Narrow"/>
        <family val="2"/>
        <charset val="204"/>
      </rPr>
      <t>Маяк</t>
    </r>
    <r>
      <rPr>
        <sz val="10"/>
        <color indexed="23"/>
        <rFont val="Arial Narrow"/>
        <family val="2"/>
        <charset val="204"/>
      </rPr>
      <t/>
    </r>
  </si>
  <si>
    <r>
      <rPr>
        <sz val="10"/>
        <rFont val="Arial Narrow"/>
        <family val="2"/>
        <charset val="204"/>
      </rPr>
      <t>Негоциант</t>
    </r>
    <r>
      <rPr>
        <sz val="10"/>
        <color indexed="23"/>
        <rFont val="Arial Narrow"/>
        <family val="2"/>
        <charset val="204"/>
      </rPr>
      <t/>
    </r>
  </si>
  <si>
    <r>
      <rPr>
        <sz val="10"/>
        <rFont val="Arial Narrow"/>
        <family val="2"/>
        <charset val="204"/>
      </rPr>
      <t>Ураган</t>
    </r>
    <r>
      <rPr>
        <sz val="10"/>
        <color indexed="23"/>
        <rFont val="Arial Narrow"/>
        <family val="2"/>
        <charset val="204"/>
      </rPr>
      <t/>
    </r>
  </si>
  <si>
    <t>Торнадо</t>
  </si>
  <si>
    <t>Колесо</t>
  </si>
  <si>
    <t>VH120-100-03</t>
  </si>
  <si>
    <t>VH-COMBI-09</t>
  </si>
  <si>
    <t>1"-1,25"-1,5"</t>
  </si>
  <si>
    <t>VH-FAN-09</t>
  </si>
  <si>
    <r>
      <rPr>
        <sz val="10"/>
        <rFont val="Arial Narrow"/>
        <family val="2"/>
        <charset val="204"/>
      </rPr>
      <t>Дискотека</t>
    </r>
    <r>
      <rPr>
        <i/>
        <sz val="10"/>
        <color indexed="23"/>
        <rFont val="Arial Narrow"/>
        <family val="2"/>
        <charset val="204"/>
      </rPr>
      <t/>
    </r>
  </si>
  <si>
    <t>Держава</t>
  </si>
  <si>
    <t>Карнавал</t>
  </si>
  <si>
    <t>Факел болельщика красный</t>
  </si>
  <si>
    <t>Факел болельщика синий</t>
  </si>
  <si>
    <t>Факел болельщика белый</t>
  </si>
  <si>
    <t>обклейка</t>
  </si>
  <si>
    <t>01303</t>
  </si>
  <si>
    <t>01401</t>
  </si>
  <si>
    <t>01510</t>
  </si>
  <si>
    <t>01114</t>
  </si>
  <si>
    <t>01712</t>
  </si>
  <si>
    <t>04000</t>
  </si>
  <si>
    <t>Вставьте свою скидку в зеленое поле ниже:</t>
  </si>
  <si>
    <t>Мой заказ</t>
  </si>
  <si>
    <t>Итоговая цена со скидкой</t>
  </si>
  <si>
    <t>Моя цена за штуку</t>
  </si>
  <si>
    <t>Моя цена за коробку</t>
  </si>
  <si>
    <t>Заказ в полных коробках</t>
  </si>
  <si>
    <t>заполните этот столбец</t>
  </si>
  <si>
    <t>Сумма заказа:</t>
  </si>
  <si>
    <t>VH080-08-01</t>
  </si>
  <si>
    <r>
      <t>Залп</t>
    </r>
    <r>
      <rPr>
        <sz val="10"/>
        <color indexed="10"/>
        <rFont val="Arial Narrow"/>
        <family val="2"/>
        <charset val="204"/>
      </rPr>
      <t/>
    </r>
  </si>
  <si>
    <t>VH080-12-01</t>
  </si>
  <si>
    <r>
      <t>Город Делфт</t>
    </r>
    <r>
      <rPr>
        <sz val="10"/>
        <color indexed="10"/>
        <rFont val="Arial Narrow"/>
        <family val="2"/>
        <charset val="204"/>
      </rPr>
      <t/>
    </r>
  </si>
  <si>
    <t>VH100-10-01</t>
  </si>
  <si>
    <r>
      <t>Акула</t>
    </r>
    <r>
      <rPr>
        <sz val="10"/>
        <color indexed="10"/>
        <rFont val="Arial Narrow"/>
        <family val="2"/>
        <charset val="204"/>
      </rPr>
      <t/>
    </r>
  </si>
  <si>
    <t>VH100-55-01</t>
  </si>
  <si>
    <t>Шкипер</t>
  </si>
  <si>
    <t>VH100-66-01</t>
  </si>
  <si>
    <t>Командор</t>
  </si>
  <si>
    <t>VH-COMBI-07</t>
  </si>
  <si>
    <r>
      <t>Династия</t>
    </r>
    <r>
      <rPr>
        <sz val="10"/>
        <color indexed="10"/>
        <rFont val="Arial Narrow"/>
        <family val="2"/>
        <charset val="204"/>
      </rPr>
      <t/>
    </r>
  </si>
  <si>
    <r>
      <t>Остров сокровищ</t>
    </r>
    <r>
      <rPr>
        <sz val="10"/>
        <color indexed="10"/>
        <rFont val="Arial Narrow"/>
        <family val="2"/>
        <charset val="204"/>
      </rPr>
      <t/>
    </r>
  </si>
  <si>
    <t>Фонтан. Увеличен физический размер в 2021 году</t>
  </si>
  <si>
    <t>K0404</t>
  </si>
  <si>
    <t>K0501</t>
  </si>
  <si>
    <t>Корсар 5</t>
  </si>
  <si>
    <t>01105</t>
  </si>
  <si>
    <t>Специальное изделие для более светлого неба. Отсутствуют эффекты золотого и синего цвета</t>
  </si>
  <si>
    <r>
      <t>SmartFire 19</t>
    </r>
    <r>
      <rPr>
        <sz val="10"/>
        <color indexed="10"/>
        <rFont val="Arial Narrow"/>
        <family val="2"/>
        <charset val="204"/>
      </rPr>
      <t/>
    </r>
  </si>
  <si>
    <r>
      <t>SmartFire 49</t>
    </r>
    <r>
      <rPr>
        <sz val="10"/>
        <color indexed="10"/>
        <rFont val="Arial Narrow"/>
        <family val="2"/>
        <charset val="204"/>
      </rPr>
      <t/>
    </r>
  </si>
  <si>
    <r>
      <t>SmartFire 25</t>
    </r>
    <r>
      <rPr>
        <sz val="10"/>
        <color indexed="10"/>
        <rFont val="Arial Narrow"/>
        <family val="2"/>
        <charset val="204"/>
      </rPr>
      <t/>
    </r>
  </si>
  <si>
    <t>Дунайские волны</t>
  </si>
  <si>
    <r>
      <t>SmartFire 100</t>
    </r>
    <r>
      <rPr>
        <sz val="10"/>
        <color indexed="10"/>
        <rFont val="Arial Narrow"/>
        <family val="2"/>
        <charset val="204"/>
      </rPr>
      <t/>
    </r>
  </si>
  <si>
    <t>01526-01527</t>
  </si>
  <si>
    <t>01528-01529</t>
  </si>
  <si>
    <t>Супербатарея extra-large. 72 залпа 1", 200 залпов 1,25"</t>
  </si>
  <si>
    <t>01726-01727</t>
  </si>
  <si>
    <t>01918-01919</t>
  </si>
  <si>
    <t>01905</t>
  </si>
  <si>
    <t>01906</t>
  </si>
  <si>
    <t>01901</t>
  </si>
  <si>
    <t>02012</t>
  </si>
  <si>
    <t>14\7</t>
  </si>
  <si>
    <t>14\9</t>
  </si>
  <si>
    <t>1" и 1,25"</t>
  </si>
  <si>
    <t>1" и 1,5"</t>
  </si>
  <si>
    <t>04001</t>
  </si>
  <si>
    <t>увеличенный размер</t>
  </si>
  <si>
    <t>16/10/5</t>
  </si>
  <si>
    <t>16/12/6</t>
  </si>
  <si>
    <t>Объем трансп. коробки (м3)</t>
  </si>
  <si>
    <t>Вес трансп. коробки (кг.)</t>
  </si>
  <si>
    <t>Premium25 *</t>
  </si>
  <si>
    <t>Общий объем заказа (м3)</t>
  </si>
  <si>
    <t>Общий вес заказа (кг.)</t>
  </si>
  <si>
    <t>Общий вес заказа (кг.):</t>
  </si>
  <si>
    <t>Общий объем заказа (м3):</t>
  </si>
  <si>
    <t>22/2</t>
  </si>
  <si>
    <t>ВИДЕО 2022</t>
  </si>
  <si>
    <t>Наутилус</t>
  </si>
  <si>
    <t>Аладдин</t>
  </si>
  <si>
    <t>Северное сияние</t>
  </si>
  <si>
    <t xml:space="preserve">Мыс Доброй Надежды </t>
  </si>
  <si>
    <t>Белые ночи</t>
  </si>
  <si>
    <t>Лидер</t>
  </si>
  <si>
    <t>Титан</t>
  </si>
  <si>
    <t>Гладиатор</t>
  </si>
  <si>
    <t>Богатырь</t>
  </si>
  <si>
    <t>Циркон</t>
  </si>
  <si>
    <t>Калибр</t>
  </si>
  <si>
    <t>Домашний</t>
  </si>
  <si>
    <t>Белая горячка</t>
  </si>
  <si>
    <t>Сенатор</t>
  </si>
  <si>
    <t>Цена указана за набор из трех ракет.</t>
  </si>
  <si>
    <t>Набор ракет. В наборе 4 ракеты по 1,25" и 3 ракеты 1". Цена за набор из семи ракет</t>
  </si>
  <si>
    <t>Набор ракет. В наборе 5 ракет по 1,5" и 4 ракеты 1". Цена за набор из девять ракет</t>
  </si>
  <si>
    <t>в продаже</t>
  </si>
  <si>
    <t>Ожидается поставка</t>
  </si>
  <si>
    <t>в продаже и ожидается поставка</t>
  </si>
  <si>
    <t>Биг шторм</t>
  </si>
  <si>
    <t>Мега шторм</t>
  </si>
  <si>
    <t>Викинг</t>
  </si>
  <si>
    <t>Прайс-листа на сезон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</si>
</sst>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4" formatCode="#,##0.00_р_."/>
    <numFmt numFmtId="177" formatCode="#,##0.00\ &quot;₽&quot;"/>
    <numFmt numFmtId="178" formatCode="#,##0\ &quot;₽&quot;"/>
    <numFmt numFmtId="186" formatCode="0.0_);[Red]\(0.0\)"/>
    <numFmt numFmtId="187" formatCode="0.000_);[Red]\(0.000\)"/>
    <numFmt numFmtId="188" formatCode="#,##0.000"/>
  </numFmts>
  <fonts count="5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11"/>
      <color indexed="8"/>
      <name val="宋体"/>
      <charset val="134"/>
    </font>
    <font>
      <b/>
      <sz val="7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宋体"/>
      <charset val="134"/>
    </font>
    <font>
      <i/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i/>
      <sz val="10"/>
      <color indexed="23"/>
      <name val="Arial Narrow"/>
      <family val="2"/>
      <charset val="204"/>
    </font>
    <font>
      <sz val="10"/>
      <color indexed="23"/>
      <name val="Arial Narrow"/>
      <family val="2"/>
      <charset val="204"/>
    </font>
    <font>
      <sz val="10"/>
      <color indexed="10"/>
      <name val="Arial Narrow"/>
      <family val="2"/>
      <charset val="204"/>
    </font>
    <font>
      <u/>
      <sz val="10"/>
      <name val="Arial Narrow"/>
      <family val="2"/>
      <charset val="204"/>
    </font>
    <font>
      <b/>
      <sz val="10"/>
      <color indexed="5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22"/>
      <color indexed="8"/>
      <name val="Arial Narrow"/>
      <family val="2"/>
      <charset val="204"/>
    </font>
    <font>
      <sz val="12"/>
      <color indexed="8"/>
      <name val="Calibri"/>
      <family val="2"/>
    </font>
    <font>
      <sz val="9"/>
      <name val="Arial Narrow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0"/>
      <name val="Arial"/>
      <family val="2"/>
    </font>
    <font>
      <b/>
      <sz val="9"/>
      <name val="Arial Narrow"/>
      <family val="2"/>
      <charset val="204"/>
    </font>
    <font>
      <u/>
      <sz val="7.5"/>
      <color theme="10"/>
      <name val="Arial Cyr"/>
      <charset val="13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3"/>
      <charset val="134"/>
      <scheme val="minor"/>
    </font>
    <font>
      <sz val="11"/>
      <color theme="1"/>
      <name val="DengXian"/>
      <family val="1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0"/>
      <color theme="0" tint="-0.499984740745262"/>
      <name val="Arial Narrow"/>
      <family val="2"/>
      <charset val="204"/>
    </font>
    <font>
      <i/>
      <sz val="10"/>
      <color theme="0" tint="-0.499984740745262"/>
      <name val="Arial Narrow"/>
      <family val="2"/>
      <charset val="204"/>
    </font>
    <font>
      <u/>
      <sz val="10"/>
      <color theme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u/>
      <sz val="10"/>
      <color rgb="FF0070C0"/>
      <name val="Arial Narrow"/>
      <family val="2"/>
      <charset val="204"/>
    </font>
    <font>
      <i/>
      <sz val="11"/>
      <color theme="0" tint="-0.499984740745262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u/>
      <sz val="10"/>
      <color rgb="FF000000"/>
      <name val="Arial Narrow"/>
      <family val="2"/>
      <charset val="204"/>
    </font>
    <font>
      <i/>
      <u/>
      <sz val="10"/>
      <color theme="0" tint="-0.499984740745262"/>
      <name val="Arial Narrow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sz val="10"/>
      <color rgb="FF00B050"/>
      <name val="Arial Narrow"/>
      <family val="2"/>
      <charset val="204"/>
    </font>
    <font>
      <u/>
      <sz val="10"/>
      <color theme="0" tint="-0.499984740745262"/>
      <name val="Arial Narrow"/>
      <family val="2"/>
      <charset val="204"/>
    </font>
    <font>
      <sz val="9"/>
      <color rgb="FFFF000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b/>
      <sz val="10"/>
      <color theme="6" tint="-0.499984740745262"/>
      <name val="Arial Narrow"/>
      <family val="2"/>
      <charset val="204"/>
    </font>
    <font>
      <b/>
      <u/>
      <sz val="10"/>
      <color theme="1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8" fillId="0" borderId="0"/>
    <xf numFmtId="0" fontId="5" fillId="0" borderId="0">
      <alignment vertical="center"/>
    </xf>
    <xf numFmtId="0" fontId="29" fillId="0" borderId="0"/>
    <xf numFmtId="0" fontId="29" fillId="0" borderId="0"/>
    <xf numFmtId="0" fontId="8" fillId="0" borderId="0"/>
    <xf numFmtId="0" fontId="8" fillId="0" borderId="0"/>
  </cellStyleXfs>
  <cellXfs count="249">
    <xf numFmtId="0" fontId="0" fillId="0" borderId="0" xfId="0"/>
    <xf numFmtId="0" fontId="30" fillId="2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174" fontId="31" fillId="0" borderId="1" xfId="0" applyNumberFormat="1" applyFont="1" applyBorder="1" applyAlignment="1">
      <alignment horizontal="center" vertical="center" wrapText="1"/>
    </xf>
    <xf numFmtId="17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0" fillId="0" borderId="1" xfId="0" applyFont="1" applyFill="1" applyBorder="1" applyAlignment="1">
      <alignment horizontal="center" wrapText="1"/>
    </xf>
    <xf numFmtId="0" fontId="3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49" fontId="4" fillId="0" borderId="0" xfId="0" applyNumberFormat="1" applyFont="1" applyAlignment="1">
      <alignment horizontal="left"/>
    </xf>
    <xf numFmtId="0" fontId="33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 wrapText="1"/>
    </xf>
    <xf numFmtId="178" fontId="30" fillId="0" borderId="1" xfId="0" applyNumberFormat="1" applyFont="1" applyFill="1" applyBorder="1"/>
    <xf numFmtId="0" fontId="35" fillId="0" borderId="1" xfId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 wrapText="1"/>
    </xf>
    <xf numFmtId="178" fontId="36" fillId="0" borderId="1" xfId="0" applyNumberFormat="1" applyFont="1" applyFill="1" applyBorder="1"/>
    <xf numFmtId="0" fontId="37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wrapText="1"/>
    </xf>
    <xf numFmtId="0" fontId="36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wrapText="1"/>
    </xf>
    <xf numFmtId="0" fontId="36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vertical="top" wrapText="1"/>
    </xf>
    <xf numFmtId="0" fontId="34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center" vertical="top" wrapText="1"/>
    </xf>
    <xf numFmtId="49" fontId="3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78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8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49" fontId="34" fillId="0" borderId="1" xfId="8" applyNumberFormat="1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vertical="center"/>
    </xf>
    <xf numFmtId="0" fontId="35" fillId="0" borderId="1" xfId="1" applyFont="1" applyFill="1" applyBorder="1" applyAlignment="1" applyProtection="1">
      <alignment horizontal="center" wrapText="1"/>
    </xf>
    <xf numFmtId="49" fontId="34" fillId="0" borderId="1" xfId="8" applyNumberFormat="1" applyFont="1" applyFill="1" applyBorder="1" applyAlignment="1">
      <alignment horizontal="center" vertical="top" wrapText="1"/>
    </xf>
    <xf numFmtId="49" fontId="1" fillId="0" borderId="1" xfId="8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178" fontId="30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1" fillId="0" borderId="1" xfId="4" applyNumberFormat="1" applyFont="1" applyFill="1" applyBorder="1" applyAlignment="1">
      <alignment horizontal="center" vertical="top" wrapText="1"/>
    </xf>
    <xf numFmtId="177" fontId="1" fillId="0" borderId="1" xfId="0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vertical="top" wrapText="1"/>
    </xf>
    <xf numFmtId="177" fontId="34" fillId="0" borderId="1" xfId="0" applyNumberFormat="1" applyFont="1" applyFill="1" applyBorder="1" applyAlignment="1">
      <alignment vertical="center"/>
    </xf>
    <xf numFmtId="0" fontId="34" fillId="0" borderId="1" xfId="4" applyFont="1" applyFill="1" applyBorder="1" applyAlignment="1">
      <alignment vertical="top" wrapText="1"/>
    </xf>
    <xf numFmtId="49" fontId="1" fillId="0" borderId="1" xfId="4" applyNumberFormat="1" applyFont="1" applyFill="1" applyBorder="1" applyAlignment="1">
      <alignment horizontal="center" vertical="center" wrapText="1"/>
    </xf>
    <xf numFmtId="0" fontId="34" fillId="0" borderId="1" xfId="4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49" fontId="34" fillId="0" borderId="1" xfId="4" applyNumberFormat="1" applyFont="1" applyFill="1" applyBorder="1" applyAlignment="1">
      <alignment horizontal="center" vertical="center" wrapText="1"/>
    </xf>
    <xf numFmtId="0" fontId="38" fillId="0" borderId="1" xfId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vertical="center" wrapText="1"/>
    </xf>
    <xf numFmtId="49" fontId="30" fillId="0" borderId="1" xfId="4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40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 applyProtection="1">
      <alignment horizontal="center" vertical="center" wrapText="1"/>
    </xf>
    <xf numFmtId="178" fontId="36" fillId="0" borderId="1" xfId="0" applyNumberFormat="1" applyFont="1" applyFill="1" applyBorder="1" applyAlignment="1">
      <alignment vertical="center"/>
    </xf>
    <xf numFmtId="0" fontId="42" fillId="0" borderId="1" xfId="1" applyFont="1" applyFill="1" applyBorder="1" applyAlignment="1" applyProtection="1">
      <alignment horizontal="center" vertical="center" wrapText="1"/>
    </xf>
    <xf numFmtId="0" fontId="1" fillId="0" borderId="1" xfId="4" applyFont="1" applyFill="1" applyBorder="1" applyAlignment="1">
      <alignment vertical="center" wrapText="1"/>
    </xf>
    <xf numFmtId="178" fontId="43" fillId="0" borderId="1" xfId="0" applyNumberFormat="1" applyFont="1" applyFill="1" applyBorder="1"/>
    <xf numFmtId="178" fontId="44" fillId="0" borderId="1" xfId="0" applyNumberFormat="1" applyFont="1" applyFill="1" applyBorder="1" applyAlignment="1">
      <alignment vertical="center"/>
    </xf>
    <xf numFmtId="178" fontId="33" fillId="0" borderId="1" xfId="0" applyNumberFormat="1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vertical="center"/>
    </xf>
    <xf numFmtId="0" fontId="45" fillId="0" borderId="1" xfId="0" applyFont="1" applyFill="1" applyBorder="1" applyAlignment="1">
      <alignment vertical="top" wrapText="1"/>
    </xf>
    <xf numFmtId="0" fontId="46" fillId="0" borderId="1" xfId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/>
    <xf numFmtId="178" fontId="43" fillId="0" borderId="1" xfId="0" applyNumberFormat="1" applyFont="1" applyFill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Fill="1" applyBorder="1" applyAlignment="1">
      <alignment vertical="center"/>
    </xf>
    <xf numFmtId="49" fontId="40" fillId="0" borderId="1" xfId="0" applyNumberFormat="1" applyFont="1" applyFill="1" applyBorder="1" applyAlignment="1">
      <alignment vertical="center"/>
    </xf>
    <xf numFmtId="49" fontId="0" fillId="0" borderId="0" xfId="0" applyNumberFormat="1"/>
    <xf numFmtId="0" fontId="31" fillId="0" borderId="2" xfId="0" applyFont="1" applyBorder="1" applyAlignment="1"/>
    <xf numFmtId="0" fontId="31" fillId="2" borderId="3" xfId="0" applyFont="1" applyFill="1" applyBorder="1" applyAlignment="1"/>
    <xf numFmtId="49" fontId="31" fillId="0" borderId="3" xfId="0" applyNumberFormat="1" applyFont="1" applyFill="1" applyBorder="1" applyAlignment="1"/>
    <xf numFmtId="49" fontId="31" fillId="0" borderId="4" xfId="0" applyNumberFormat="1" applyFont="1" applyFill="1" applyBorder="1" applyAlignment="1"/>
    <xf numFmtId="49" fontId="31" fillId="0" borderId="5" xfId="0" applyNumberFormat="1" applyFont="1" applyFill="1" applyBorder="1" applyAlignment="1"/>
    <xf numFmtId="178" fontId="2" fillId="0" borderId="1" xfId="0" applyNumberFormat="1" applyFont="1" applyFill="1" applyBorder="1" applyAlignment="1">
      <alignment vertical="top" wrapText="1"/>
    </xf>
    <xf numFmtId="0" fontId="26" fillId="0" borderId="1" xfId="1" applyFill="1" applyBorder="1" applyAlignment="1" applyProtection="1">
      <alignment horizontal="center" vertical="center" wrapText="1"/>
    </xf>
    <xf numFmtId="0" fontId="31" fillId="0" borderId="2" xfId="0" applyFont="1" applyBorder="1" applyAlignment="1">
      <alignment horizontal="left"/>
    </xf>
    <xf numFmtId="174" fontId="1" fillId="0" borderId="0" xfId="7" applyNumberFormat="1" applyFont="1" applyFill="1" applyBorder="1" applyAlignment="1">
      <alignment horizontal="center" vertical="center" wrapText="1"/>
    </xf>
    <xf numFmtId="174" fontId="10" fillId="3" borderId="1" xfId="7" applyNumberFormat="1" applyFont="1" applyFill="1" applyBorder="1" applyAlignment="1">
      <alignment horizontal="center" vertical="center" wrapText="1"/>
    </xf>
    <xf numFmtId="174" fontId="10" fillId="4" borderId="1" xfId="7" applyNumberFormat="1" applyFont="1" applyFill="1" applyBorder="1" applyAlignment="1">
      <alignment horizontal="center" vertical="center" wrapText="1"/>
    </xf>
    <xf numFmtId="174" fontId="17" fillId="4" borderId="1" xfId="7" applyNumberFormat="1" applyFont="1" applyFill="1" applyBorder="1" applyAlignment="1">
      <alignment horizontal="center" vertical="center" wrapText="1"/>
    </xf>
    <xf numFmtId="174" fontId="47" fillId="0" borderId="1" xfId="7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74" fontId="21" fillId="6" borderId="0" xfId="7" applyNumberFormat="1" applyFont="1" applyFill="1" applyBorder="1" applyAlignment="1">
      <alignment horizontal="center"/>
    </xf>
    <xf numFmtId="174" fontId="22" fillId="6" borderId="0" xfId="7" applyNumberFormat="1" applyFont="1" applyFill="1" applyBorder="1" applyAlignment="1">
      <alignment horizontal="right"/>
    </xf>
    <xf numFmtId="0" fontId="30" fillId="0" borderId="0" xfId="0" applyFont="1"/>
    <xf numFmtId="2" fontId="30" fillId="0" borderId="1" xfId="0" applyNumberFormat="1" applyFont="1" applyBorder="1" applyAlignment="1">
      <alignment horizontal="center"/>
    </xf>
    <xf numFmtId="2" fontId="30" fillId="0" borderId="0" xfId="0" applyNumberFormat="1" applyFont="1" applyAlignment="1">
      <alignment horizontal="center"/>
    </xf>
    <xf numFmtId="2" fontId="16" fillId="6" borderId="1" xfId="7" applyNumberFormat="1" applyFont="1" applyFill="1" applyBorder="1" applyAlignment="1">
      <alignment horizontal="center" vertical="center" wrapText="1"/>
    </xf>
    <xf numFmtId="2" fontId="16" fillId="0" borderId="0" xfId="7" applyNumberFormat="1" applyFont="1" applyFill="1" applyBorder="1" applyAlignment="1">
      <alignment horizontal="center" vertical="center" wrapText="1"/>
    </xf>
    <xf numFmtId="178" fontId="2" fillId="6" borderId="0" xfId="7" applyNumberFormat="1" applyFont="1" applyFill="1" applyBorder="1" applyAlignment="1">
      <alignment horizontal="right"/>
    </xf>
    <xf numFmtId="0" fontId="31" fillId="2" borderId="4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/>
    </xf>
    <xf numFmtId="0" fontId="26" fillId="0" borderId="1" xfId="1" applyFill="1" applyBorder="1" applyAlignment="1" applyProtection="1">
      <alignment horizontal="center" wrapText="1"/>
    </xf>
    <xf numFmtId="1" fontId="20" fillId="3" borderId="1" xfId="2" applyNumberFormat="1" applyFont="1" applyFill="1" applyBorder="1" applyAlignment="1">
      <alignment horizontal="center" vertical="center"/>
    </xf>
    <xf numFmtId="1" fontId="0" fillId="0" borderId="0" xfId="0" applyNumberFormat="1" applyFill="1"/>
    <xf numFmtId="2" fontId="20" fillId="3" borderId="1" xfId="2" applyNumberFormat="1" applyFont="1" applyFill="1" applyBorder="1" applyAlignment="1">
      <alignment horizontal="center" vertical="center"/>
    </xf>
    <xf numFmtId="1" fontId="0" fillId="0" borderId="0" xfId="0" applyNumberFormat="1"/>
    <xf numFmtId="0" fontId="2" fillId="0" borderId="0" xfId="0" applyFont="1" applyFill="1" applyBorder="1" applyAlignment="1">
      <alignment horizontal="left"/>
    </xf>
    <xf numFmtId="0" fontId="31" fillId="0" borderId="2" xfId="0" applyFont="1" applyFill="1" applyBorder="1" applyAlignment="1"/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43" fillId="0" borderId="1" xfId="0" applyFont="1" applyFill="1" applyBorder="1"/>
    <xf numFmtId="0" fontId="31" fillId="0" borderId="4" xfId="0" applyFont="1" applyFill="1" applyBorder="1" applyAlignment="1"/>
    <xf numFmtId="0" fontId="31" fillId="0" borderId="7" xfId="0" applyFont="1" applyFill="1" applyBorder="1" applyAlignment="1"/>
    <xf numFmtId="0" fontId="31" fillId="0" borderId="0" xfId="0" applyFont="1" applyFill="1" applyBorder="1" applyAlignment="1"/>
    <xf numFmtId="0" fontId="2" fillId="0" borderId="4" xfId="0" applyFont="1" applyFill="1" applyBorder="1" applyAlignment="1"/>
    <xf numFmtId="0" fontId="3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188" fontId="1" fillId="0" borderId="1" xfId="0" applyNumberFormat="1" applyFont="1" applyFill="1" applyBorder="1" applyAlignment="1">
      <alignment vertical="center"/>
    </xf>
    <xf numFmtId="188" fontId="0" fillId="0" borderId="0" xfId="0" applyNumberFormat="1"/>
    <xf numFmtId="174" fontId="23" fillId="0" borderId="0" xfId="7" applyNumberFormat="1" applyFont="1" applyFill="1" applyBorder="1" applyAlignment="1">
      <alignment horizontal="right"/>
    </xf>
    <xf numFmtId="188" fontId="30" fillId="0" borderId="0" xfId="0" applyNumberFormat="1" applyFont="1"/>
    <xf numFmtId="0" fontId="30" fillId="2" borderId="4" xfId="0" applyFont="1" applyFill="1" applyBorder="1" applyAlignment="1">
      <alignment wrapText="1"/>
    </xf>
    <xf numFmtId="187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/>
    <xf numFmtId="174" fontId="30" fillId="0" borderId="0" xfId="0" applyNumberFormat="1" applyFont="1" applyBorder="1" applyAlignment="1">
      <alignment wrapText="1"/>
    </xf>
    <xf numFmtId="0" fontId="31" fillId="0" borderId="5" xfId="0" applyFont="1" applyFill="1" applyBorder="1" applyAlignment="1">
      <alignment wrapText="1"/>
    </xf>
    <xf numFmtId="0" fontId="31" fillId="0" borderId="8" xfId="0" applyFont="1" applyFill="1" applyBorder="1" applyAlignment="1">
      <alignment wrapText="1"/>
    </xf>
    <xf numFmtId="0" fontId="31" fillId="0" borderId="5" xfId="0" applyFont="1" applyFill="1" applyBorder="1" applyAlignment="1"/>
    <xf numFmtId="0" fontId="2" fillId="0" borderId="5" xfId="0" applyFont="1" applyFill="1" applyBorder="1" applyAlignment="1"/>
    <xf numFmtId="0" fontId="31" fillId="0" borderId="8" xfId="0" applyFont="1" applyFill="1" applyBorder="1" applyAlignment="1"/>
    <xf numFmtId="0" fontId="31" fillId="0" borderId="5" xfId="0" applyFont="1" applyFill="1" applyBorder="1" applyAlignment="1">
      <alignment vertical="center"/>
    </xf>
    <xf numFmtId="0" fontId="31" fillId="0" borderId="9" xfId="0" applyFont="1" applyFill="1" applyBorder="1" applyAlignment="1">
      <alignment horizontal="left"/>
    </xf>
    <xf numFmtId="0" fontId="30" fillId="0" borderId="2" xfId="0" applyFont="1" applyFill="1" applyBorder="1" applyAlignment="1">
      <alignment wrapText="1"/>
    </xf>
    <xf numFmtId="49" fontId="43" fillId="0" borderId="1" xfId="0" applyNumberFormat="1" applyFont="1" applyFill="1" applyBorder="1"/>
    <xf numFmtId="0" fontId="43" fillId="0" borderId="1" xfId="0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0" fontId="31" fillId="0" borderId="3" xfId="0" applyFont="1" applyFill="1" applyBorder="1" applyAlignment="1"/>
    <xf numFmtId="0" fontId="30" fillId="0" borderId="4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/>
    </xf>
    <xf numFmtId="0" fontId="35" fillId="0" borderId="6" xfId="1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wrapText="1"/>
    </xf>
    <xf numFmtId="0" fontId="30" fillId="0" borderId="7" xfId="0" applyFont="1" applyFill="1" applyBorder="1" applyAlignment="1"/>
    <xf numFmtId="49" fontId="45" fillId="0" borderId="0" xfId="0" applyNumberFormat="1" applyFont="1" applyFill="1"/>
    <xf numFmtId="0" fontId="30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1" fillId="0" borderId="4" xfId="0" applyFont="1" applyFill="1" applyBorder="1" applyAlignment="1"/>
    <xf numFmtId="0" fontId="35" fillId="0" borderId="1" xfId="1" applyFont="1" applyFill="1" applyBorder="1" applyAlignment="1" applyProtection="1">
      <alignment horizontal="center"/>
    </xf>
    <xf numFmtId="0" fontId="49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177" fontId="44" fillId="0" borderId="1" xfId="0" applyNumberFormat="1" applyFont="1" applyFill="1" applyBorder="1" applyAlignment="1">
      <alignment vertical="center"/>
    </xf>
    <xf numFmtId="177" fontId="43" fillId="0" borderId="1" xfId="0" applyNumberFormat="1" applyFont="1" applyFill="1" applyBorder="1" applyAlignment="1">
      <alignment vertical="center"/>
    </xf>
    <xf numFmtId="0" fontId="30" fillId="0" borderId="2" xfId="0" applyFont="1" applyFill="1" applyBorder="1" applyAlignment="1"/>
    <xf numFmtId="0" fontId="30" fillId="0" borderId="1" xfId="0" applyFont="1" applyFill="1" applyBorder="1" applyAlignment="1">
      <alignment wrapText="1"/>
    </xf>
    <xf numFmtId="177" fontId="30" fillId="0" borderId="1" xfId="0" applyNumberFormat="1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0" fontId="35" fillId="0" borderId="5" xfId="1" applyFont="1" applyFill="1" applyBorder="1" applyAlignment="1" applyProtection="1">
      <alignment horizontal="center" vertical="center" wrapText="1"/>
    </xf>
    <xf numFmtId="0" fontId="35" fillId="0" borderId="5" xfId="1" applyFont="1" applyFill="1" applyBorder="1" applyAlignment="1" applyProtection="1">
      <alignment horizontal="center" wrapText="1"/>
    </xf>
    <xf numFmtId="178" fontId="34" fillId="0" borderId="1" xfId="0" applyNumberFormat="1" applyFont="1" applyFill="1" applyBorder="1"/>
    <xf numFmtId="0" fontId="30" fillId="0" borderId="1" xfId="0" applyFont="1" applyFill="1" applyBorder="1"/>
    <xf numFmtId="0" fontId="31" fillId="0" borderId="5" xfId="0" applyFont="1" applyFill="1" applyBorder="1" applyAlignment="1">
      <alignment horizontal="left" vertical="center" wrapText="1"/>
    </xf>
    <xf numFmtId="177" fontId="43" fillId="0" borderId="1" xfId="0" applyNumberFormat="1" applyFont="1" applyFill="1" applyBorder="1"/>
    <xf numFmtId="0" fontId="30" fillId="0" borderId="5" xfId="0" applyFont="1" applyFill="1" applyBorder="1" applyAlignment="1">
      <alignment horizontal="center" wrapText="1"/>
    </xf>
    <xf numFmtId="178" fontId="1" fillId="7" borderId="1" xfId="0" applyNumberFormat="1" applyFont="1" applyFill="1" applyBorder="1" applyAlignment="1">
      <alignment vertical="center"/>
    </xf>
    <xf numFmtId="178" fontId="1" fillId="7" borderId="1" xfId="0" applyNumberFormat="1" applyFont="1" applyFill="1" applyBorder="1"/>
    <xf numFmtId="178" fontId="40" fillId="7" borderId="1" xfId="0" applyNumberFormat="1" applyFont="1" applyFill="1" applyBorder="1"/>
    <xf numFmtId="178" fontId="43" fillId="7" borderId="1" xfId="0" applyNumberFormat="1" applyFont="1" applyFill="1" applyBorder="1"/>
    <xf numFmtId="178" fontId="34" fillId="7" borderId="1" xfId="0" applyNumberFormat="1" applyFont="1" applyFill="1" applyBorder="1" applyAlignment="1">
      <alignment vertical="center"/>
    </xf>
    <xf numFmtId="49" fontId="2" fillId="0" borderId="1" xfId="8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vertical="center"/>
    </xf>
    <xf numFmtId="188" fontId="2" fillId="0" borderId="1" xfId="0" applyNumberFormat="1" applyFont="1" applyFill="1" applyBorder="1" applyAlignment="1">
      <alignment vertical="center"/>
    </xf>
    <xf numFmtId="0" fontId="50" fillId="0" borderId="1" xfId="1" applyFont="1" applyFill="1" applyBorder="1" applyAlignment="1" applyProtection="1">
      <alignment horizontal="center" wrapText="1"/>
    </xf>
    <xf numFmtId="1" fontId="25" fillId="3" borderId="1" xfId="2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178" fontId="30" fillId="7" borderId="1" xfId="0" applyNumberFormat="1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174" fontId="0" fillId="0" borderId="0" xfId="0" applyNumberFormat="1" applyFill="1" applyBorder="1" applyAlignment="1">
      <alignment wrapText="1"/>
    </xf>
    <xf numFmtId="0" fontId="48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9" fontId="18" fillId="9" borderId="1" xfId="0" applyNumberFormat="1" applyFont="1" applyFill="1" applyBorder="1" applyAlignment="1">
      <alignment horizontal="center" vertical="center" wrapText="1"/>
    </xf>
    <xf numFmtId="174" fontId="16" fillId="6" borderId="1" xfId="7" applyNumberFormat="1" applyFont="1" applyFill="1" applyBorder="1" applyAlignment="1">
      <alignment horizontal="center" vertical="center" wrapText="1"/>
    </xf>
    <xf numFmtId="174" fontId="48" fillId="0" borderId="1" xfId="7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48" fillId="0" borderId="0" xfId="0" applyFont="1" applyAlignment="1">
      <alignment horizontal="left"/>
    </xf>
    <xf numFmtId="0" fontId="48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9">
    <cellStyle name="Гиперссылка" xfId="1" builtinId="8"/>
    <cellStyle name="Обычный" xfId="0" builtinId="0"/>
    <cellStyle name="Обычный 16" xfId="2"/>
    <cellStyle name="Обычный 2" xfId="3"/>
    <cellStyle name="Обычный_Лист1" xfId="4"/>
    <cellStyle name="常规 2 13 2" xfId="5"/>
    <cellStyle name="常规 7" xfId="6"/>
    <cellStyle name="常规_DT08040 吉腾礼花弹" xfId="7"/>
    <cellStyle name="常规_Sheet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133350</xdr:colOff>
      <xdr:row>0</xdr:row>
      <xdr:rowOff>19050</xdr:rowOff>
    </xdr:from>
    <xdr:to>
      <xdr:col>19</xdr:col>
      <xdr:colOff>647700</xdr:colOff>
      <xdr:row>6</xdr:row>
      <xdr:rowOff>171450</xdr:rowOff>
    </xdr:to>
    <xdr:pic>
      <xdr:nvPicPr>
        <xdr:cNvPr id="2128" name="Рисунок 1" descr="logo-nl.wmf">
          <a:extLst>
            <a:ext uri="{FF2B5EF4-FFF2-40B4-BE49-F238E27FC236}">
              <a16:creationId xmlns:a16="http://schemas.microsoft.com/office/drawing/2014/main" id="{EFDC3A22-3A83-43A3-B7B8-F33399D2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19050"/>
          <a:ext cx="12573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17</xdr:col>
      <xdr:colOff>276225</xdr:colOff>
      <xdr:row>96</xdr:row>
      <xdr:rowOff>28575</xdr:rowOff>
    </xdr:from>
    <xdr:to>
      <xdr:col>22</xdr:col>
      <xdr:colOff>190500</xdr:colOff>
      <xdr:row>96</xdr:row>
      <xdr:rowOff>1676400</xdr:rowOff>
    </xdr:to>
    <xdr:pic>
      <xdr:nvPicPr>
        <xdr:cNvPr id="2129" name="Picture 1" descr="blank-verh">
          <a:extLst>
            <a:ext uri="{FF2B5EF4-FFF2-40B4-BE49-F238E27FC236}">
              <a16:creationId xmlns:a16="http://schemas.microsoft.com/office/drawing/2014/main" id="{FFD924E5-710F-4A83-8CA7-4DA44DC9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5" y="23945850"/>
          <a:ext cx="35147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outu.be/xsMGhgZP-lo" TargetMode="External"/><Relationship Id="rId299" Type="http://schemas.openxmlformats.org/officeDocument/2006/relationships/hyperlink" Target="https://youtu.be/2O3oJhrDdxw" TargetMode="External"/><Relationship Id="rId21" Type="http://schemas.openxmlformats.org/officeDocument/2006/relationships/hyperlink" Target="https://www.youtube.com/watch?v=Xo3fOHFUvq4" TargetMode="External"/><Relationship Id="rId63" Type="http://schemas.openxmlformats.org/officeDocument/2006/relationships/hyperlink" Target="https://youtu.be/IxDzo1U_JOI" TargetMode="External"/><Relationship Id="rId159" Type="http://schemas.openxmlformats.org/officeDocument/2006/relationships/hyperlink" Target="https://www.youtube.com/watch?v=6UiMBXbSgCI" TargetMode="External"/><Relationship Id="rId324" Type="http://schemas.openxmlformats.org/officeDocument/2006/relationships/hyperlink" Target="https://youtu.be/4Hc7Gf92nCg" TargetMode="External"/><Relationship Id="rId366" Type="http://schemas.openxmlformats.org/officeDocument/2006/relationships/hyperlink" Target="https://youtu.be/WLiv4TrQ0Nw" TargetMode="External"/><Relationship Id="rId170" Type="http://schemas.openxmlformats.org/officeDocument/2006/relationships/hyperlink" Target="https://youtu.be/FY5hEX38zew" TargetMode="External"/><Relationship Id="rId226" Type="http://schemas.openxmlformats.org/officeDocument/2006/relationships/hyperlink" Target="https://www.youtube.com/watch?v=urmJXJMQEEM" TargetMode="External"/><Relationship Id="rId268" Type="http://schemas.openxmlformats.org/officeDocument/2006/relationships/hyperlink" Target="https://youtu.be/2I5-ksjWrqM" TargetMode="External"/><Relationship Id="rId32" Type="http://schemas.openxmlformats.org/officeDocument/2006/relationships/hyperlink" Target="https://www.youtube.com/watch?v=ANYyw7b5SGw" TargetMode="External"/><Relationship Id="rId74" Type="http://schemas.openxmlformats.org/officeDocument/2006/relationships/hyperlink" Target="https://www.youtube.com/watch?v=3Am55QtAXYk" TargetMode="External"/><Relationship Id="rId128" Type="http://schemas.openxmlformats.org/officeDocument/2006/relationships/hyperlink" Target="https://youtu.be/ltbIYGDbr9Y" TargetMode="External"/><Relationship Id="rId335" Type="http://schemas.openxmlformats.org/officeDocument/2006/relationships/hyperlink" Target="https://youtu.be/WnQaOdAelxA" TargetMode="External"/><Relationship Id="rId377" Type="http://schemas.openxmlformats.org/officeDocument/2006/relationships/hyperlink" Target="https://youtu.be/ztupBhM3xs4" TargetMode="External"/><Relationship Id="rId5" Type="http://schemas.openxmlformats.org/officeDocument/2006/relationships/hyperlink" Target="https://www.youtube.com/watch?v=CEPtLEcs48Q" TargetMode="External"/><Relationship Id="rId181" Type="http://schemas.openxmlformats.org/officeDocument/2006/relationships/hyperlink" Target="https://youtu.be/ATHve6J6ntE" TargetMode="External"/><Relationship Id="rId237" Type="http://schemas.openxmlformats.org/officeDocument/2006/relationships/hyperlink" Target="https://youtu.be/3EScGire7c8" TargetMode="External"/><Relationship Id="rId279" Type="http://schemas.openxmlformats.org/officeDocument/2006/relationships/hyperlink" Target="https://youtu.be/V4SSZZWxEcg" TargetMode="External"/><Relationship Id="rId43" Type="http://schemas.openxmlformats.org/officeDocument/2006/relationships/hyperlink" Target="https://www.youtube.com/watch?v=F7ZCoyb48f8" TargetMode="External"/><Relationship Id="rId139" Type="http://schemas.openxmlformats.org/officeDocument/2006/relationships/hyperlink" Target="https://youtu.be/EKMSCskC2-Q" TargetMode="External"/><Relationship Id="rId290" Type="http://schemas.openxmlformats.org/officeDocument/2006/relationships/hyperlink" Target="https://youtu.be/BbYzcQpwwkw" TargetMode="External"/><Relationship Id="rId304" Type="http://schemas.openxmlformats.org/officeDocument/2006/relationships/hyperlink" Target="https://youtu.be/Ssst8-VfoVs" TargetMode="External"/><Relationship Id="rId346" Type="http://schemas.openxmlformats.org/officeDocument/2006/relationships/hyperlink" Target="https://youtu.be/Cgbrkk1qHMM" TargetMode="External"/><Relationship Id="rId388" Type="http://schemas.openxmlformats.org/officeDocument/2006/relationships/hyperlink" Target="https://youtu.be/UUG58P8FLlo" TargetMode="External"/><Relationship Id="rId85" Type="http://schemas.openxmlformats.org/officeDocument/2006/relationships/hyperlink" Target="https://youtu.be/HjJOyyh1Uc0" TargetMode="External"/><Relationship Id="rId150" Type="http://schemas.openxmlformats.org/officeDocument/2006/relationships/hyperlink" Target="https://youtu.be/dJMjLjSRnQI" TargetMode="External"/><Relationship Id="rId192" Type="http://schemas.openxmlformats.org/officeDocument/2006/relationships/hyperlink" Target="https://youtu.be/b3uUJMr39Ho" TargetMode="External"/><Relationship Id="rId206" Type="http://schemas.openxmlformats.org/officeDocument/2006/relationships/hyperlink" Target="https://www.youtube.com/watch?v=SUo-20FjMVI" TargetMode="External"/><Relationship Id="rId248" Type="http://schemas.openxmlformats.org/officeDocument/2006/relationships/hyperlink" Target="https://youtu.be/sQ23JGFzXZk" TargetMode="External"/><Relationship Id="rId12" Type="http://schemas.openxmlformats.org/officeDocument/2006/relationships/hyperlink" Target="https://www.youtube.com/watch?v=XeUpuklcZ6Q" TargetMode="External"/><Relationship Id="rId108" Type="http://schemas.openxmlformats.org/officeDocument/2006/relationships/hyperlink" Target="https://youtu.be/duahlTYfFi4" TargetMode="External"/><Relationship Id="rId315" Type="http://schemas.openxmlformats.org/officeDocument/2006/relationships/hyperlink" Target="https://youtu.be/73W_vREt43w" TargetMode="External"/><Relationship Id="rId357" Type="http://schemas.openxmlformats.org/officeDocument/2006/relationships/hyperlink" Target="https://youtu.be/Ewk8VddaPpU" TargetMode="External"/><Relationship Id="rId54" Type="http://schemas.openxmlformats.org/officeDocument/2006/relationships/hyperlink" Target="https://youtu.be/0UFEoNREMXc" TargetMode="External"/><Relationship Id="rId96" Type="http://schemas.openxmlformats.org/officeDocument/2006/relationships/hyperlink" Target="https://www.youtube.com/watch?v=jaW3ySW5vsc" TargetMode="External"/><Relationship Id="rId161" Type="http://schemas.openxmlformats.org/officeDocument/2006/relationships/hyperlink" Target="https://www.youtube.com/watch?v=1JkbK2H9n-I" TargetMode="External"/><Relationship Id="rId217" Type="http://schemas.openxmlformats.org/officeDocument/2006/relationships/hyperlink" Target="https://www.youtube.com/watch?v=d8kZKEOGyCw" TargetMode="External"/><Relationship Id="rId259" Type="http://schemas.openxmlformats.org/officeDocument/2006/relationships/hyperlink" Target="https://youtu.be/QZO4OgjOjwg" TargetMode="External"/><Relationship Id="rId23" Type="http://schemas.openxmlformats.org/officeDocument/2006/relationships/hyperlink" Target="https://www.youtube.com/watch?v=_BXFcC_D7H8" TargetMode="External"/><Relationship Id="rId119" Type="http://schemas.openxmlformats.org/officeDocument/2006/relationships/hyperlink" Target="https://youtu.be/Mau2MMy-DKA" TargetMode="External"/><Relationship Id="rId270" Type="http://schemas.openxmlformats.org/officeDocument/2006/relationships/hyperlink" Target="https://youtu.be/pBZJhXvY9b8" TargetMode="External"/><Relationship Id="rId326" Type="http://schemas.openxmlformats.org/officeDocument/2006/relationships/hyperlink" Target="https://youtu.be/IJMKlwRnU38" TargetMode="External"/><Relationship Id="rId65" Type="http://schemas.openxmlformats.org/officeDocument/2006/relationships/hyperlink" Target="https://www.youtube.com/watch?v=ShmyD20sWC0" TargetMode="External"/><Relationship Id="rId130" Type="http://schemas.openxmlformats.org/officeDocument/2006/relationships/hyperlink" Target="https://youtu.be/L_LESrVCHJQ" TargetMode="External"/><Relationship Id="rId368" Type="http://schemas.openxmlformats.org/officeDocument/2006/relationships/hyperlink" Target="https://youtu.be/ymZOp1289mI" TargetMode="External"/><Relationship Id="rId172" Type="http://schemas.openxmlformats.org/officeDocument/2006/relationships/hyperlink" Target="https://youtu.be/VPsQArvz7j4" TargetMode="External"/><Relationship Id="rId228" Type="http://schemas.openxmlformats.org/officeDocument/2006/relationships/hyperlink" Target="https://www.youtube.com/watch?v=mE--LNVbuQQ" TargetMode="External"/><Relationship Id="rId281" Type="http://schemas.openxmlformats.org/officeDocument/2006/relationships/hyperlink" Target="https://youtu.be/BnwFE9KRb54" TargetMode="External"/><Relationship Id="rId337" Type="http://schemas.openxmlformats.org/officeDocument/2006/relationships/hyperlink" Target="https://youtu.be/idqNs7mh2Wg" TargetMode="External"/><Relationship Id="rId34" Type="http://schemas.openxmlformats.org/officeDocument/2006/relationships/hyperlink" Target="https://www.youtube.com/watch?v=iKfpz-GEp2o" TargetMode="External"/><Relationship Id="rId76" Type="http://schemas.openxmlformats.org/officeDocument/2006/relationships/hyperlink" Target="https://youtu.be/bBPItyIb_gU" TargetMode="External"/><Relationship Id="rId141" Type="http://schemas.openxmlformats.org/officeDocument/2006/relationships/hyperlink" Target="https://youtu.be/Vq38xGds7Vg" TargetMode="External"/><Relationship Id="rId379" Type="http://schemas.openxmlformats.org/officeDocument/2006/relationships/hyperlink" Target="https://youtu.be/Dz67PZClxvU" TargetMode="External"/><Relationship Id="rId7" Type="http://schemas.openxmlformats.org/officeDocument/2006/relationships/hyperlink" Target="https://www.youtube.com/watch?v=-pUOkNerxQg" TargetMode="External"/><Relationship Id="rId183" Type="http://schemas.openxmlformats.org/officeDocument/2006/relationships/hyperlink" Target="https://www.youtube.com/watch?v=rQX3KK3l_Es" TargetMode="External"/><Relationship Id="rId239" Type="http://schemas.openxmlformats.org/officeDocument/2006/relationships/hyperlink" Target="https://youtu.be/Ha-EQjBAgyQ" TargetMode="External"/><Relationship Id="rId390" Type="http://schemas.openxmlformats.org/officeDocument/2006/relationships/hyperlink" Target="https://youtu.be/XpGbW1MjrGs" TargetMode="External"/><Relationship Id="rId250" Type="http://schemas.openxmlformats.org/officeDocument/2006/relationships/hyperlink" Target="https://youtu.be/cAG7iNtVTAU" TargetMode="External"/><Relationship Id="rId292" Type="http://schemas.openxmlformats.org/officeDocument/2006/relationships/hyperlink" Target="https://youtu.be/ouZE1fNcMF8" TargetMode="External"/><Relationship Id="rId306" Type="http://schemas.openxmlformats.org/officeDocument/2006/relationships/hyperlink" Target="https://youtu.be/01UI-d4wwiY" TargetMode="External"/><Relationship Id="rId45" Type="http://schemas.openxmlformats.org/officeDocument/2006/relationships/hyperlink" Target="https://www.youtube.com/watch?v=6an_DOCEBDM" TargetMode="External"/><Relationship Id="rId87" Type="http://schemas.openxmlformats.org/officeDocument/2006/relationships/hyperlink" Target="https://youtu.be/YXtHkYPGcUY" TargetMode="External"/><Relationship Id="rId110" Type="http://schemas.openxmlformats.org/officeDocument/2006/relationships/hyperlink" Target="https://youtu.be/VrOIgmLn4Ag" TargetMode="External"/><Relationship Id="rId348" Type="http://schemas.openxmlformats.org/officeDocument/2006/relationships/hyperlink" Target="https://youtu.be/lH0J2-wctZQ" TargetMode="External"/><Relationship Id="rId152" Type="http://schemas.openxmlformats.org/officeDocument/2006/relationships/hyperlink" Target="https://youtu.be/XyWgqC1Gl4Y" TargetMode="External"/><Relationship Id="rId194" Type="http://schemas.openxmlformats.org/officeDocument/2006/relationships/hyperlink" Target="https://youtu.be/6OuPpzf8rME" TargetMode="External"/><Relationship Id="rId208" Type="http://schemas.openxmlformats.org/officeDocument/2006/relationships/hyperlink" Target="https://www.youtube.com/watch?v=HJoHPCR8sLE" TargetMode="External"/><Relationship Id="rId261" Type="http://schemas.openxmlformats.org/officeDocument/2006/relationships/hyperlink" Target="https://youtu.be/NJOorakTRBE" TargetMode="External"/><Relationship Id="rId14" Type="http://schemas.openxmlformats.org/officeDocument/2006/relationships/hyperlink" Target="https://youtu.be/Oyet2bzHM9w" TargetMode="External"/><Relationship Id="rId56" Type="http://schemas.openxmlformats.org/officeDocument/2006/relationships/hyperlink" Target="https://www.youtube.com/watch?v=FExN0fXscG0" TargetMode="External"/><Relationship Id="rId317" Type="http://schemas.openxmlformats.org/officeDocument/2006/relationships/hyperlink" Target="https://youtu.be/AW73kStinpA" TargetMode="External"/><Relationship Id="rId359" Type="http://schemas.openxmlformats.org/officeDocument/2006/relationships/hyperlink" Target="https://youtu.be/1Qns_G1hOBI" TargetMode="External"/><Relationship Id="rId98" Type="http://schemas.openxmlformats.org/officeDocument/2006/relationships/hyperlink" Target="https://youtu.be/5Y2eAbVMmGM" TargetMode="External"/><Relationship Id="rId121" Type="http://schemas.openxmlformats.org/officeDocument/2006/relationships/hyperlink" Target="https://youtu.be/BcmbH4W8Dao" TargetMode="External"/><Relationship Id="rId163" Type="http://schemas.openxmlformats.org/officeDocument/2006/relationships/hyperlink" Target="https://youtu.be/AFoIgchva2s" TargetMode="External"/><Relationship Id="rId219" Type="http://schemas.openxmlformats.org/officeDocument/2006/relationships/hyperlink" Target="https://www.youtube.com/watch?v=WsKuzi4BYMg" TargetMode="External"/><Relationship Id="rId370" Type="http://schemas.openxmlformats.org/officeDocument/2006/relationships/hyperlink" Target="https://youtu.be/o807a-s5cHc" TargetMode="External"/><Relationship Id="rId230" Type="http://schemas.openxmlformats.org/officeDocument/2006/relationships/hyperlink" Target="https://youtu.be/cmrXXq7vr8Q" TargetMode="External"/><Relationship Id="rId25" Type="http://schemas.openxmlformats.org/officeDocument/2006/relationships/hyperlink" Target="https://www.youtube.com/watch?v=smXV6A1LLJo" TargetMode="External"/><Relationship Id="rId67" Type="http://schemas.openxmlformats.org/officeDocument/2006/relationships/hyperlink" Target="https://youtu.be/LGVskPA6HqI" TargetMode="External"/><Relationship Id="rId272" Type="http://schemas.openxmlformats.org/officeDocument/2006/relationships/hyperlink" Target="https://youtu.be/65l1sm06GZc" TargetMode="External"/><Relationship Id="rId328" Type="http://schemas.openxmlformats.org/officeDocument/2006/relationships/hyperlink" Target="https://youtu.be/EBjdRK7tErg" TargetMode="External"/><Relationship Id="rId132" Type="http://schemas.openxmlformats.org/officeDocument/2006/relationships/hyperlink" Target="https://youtu.be/n_M5zYzxs-s" TargetMode="External"/><Relationship Id="rId174" Type="http://schemas.openxmlformats.org/officeDocument/2006/relationships/hyperlink" Target="https://www.youtube.com/watch?v=RmGWUuYXG9E" TargetMode="External"/><Relationship Id="rId381" Type="http://schemas.openxmlformats.org/officeDocument/2006/relationships/hyperlink" Target="https://youtu.be/fLZTmnv1Ms8" TargetMode="External"/><Relationship Id="rId241" Type="http://schemas.openxmlformats.org/officeDocument/2006/relationships/hyperlink" Target="https://youtu.be/55rd3SGi_ys" TargetMode="External"/><Relationship Id="rId36" Type="http://schemas.openxmlformats.org/officeDocument/2006/relationships/hyperlink" Target="https://www.youtube.com/watch?v=e9-a9IfKFqs" TargetMode="External"/><Relationship Id="rId283" Type="http://schemas.openxmlformats.org/officeDocument/2006/relationships/hyperlink" Target="https://youtu.be/z0yceXRRVtg" TargetMode="External"/><Relationship Id="rId339" Type="http://schemas.openxmlformats.org/officeDocument/2006/relationships/hyperlink" Target="https://youtu.be/Cgbrkk1qHMM" TargetMode="External"/><Relationship Id="rId78" Type="http://schemas.openxmlformats.org/officeDocument/2006/relationships/hyperlink" Target="https://youtu.be/uDORrYd7uQk" TargetMode="External"/><Relationship Id="rId101" Type="http://schemas.openxmlformats.org/officeDocument/2006/relationships/hyperlink" Target="https://youtu.be/R6tviTjTkRU" TargetMode="External"/><Relationship Id="rId143" Type="http://schemas.openxmlformats.org/officeDocument/2006/relationships/hyperlink" Target="https://www.youtube.com/watch?v=yQD3SQoQpww" TargetMode="External"/><Relationship Id="rId185" Type="http://schemas.openxmlformats.org/officeDocument/2006/relationships/hyperlink" Target="https://youtu.be/Tm0ZHh3QvrY" TargetMode="External"/><Relationship Id="rId350" Type="http://schemas.openxmlformats.org/officeDocument/2006/relationships/hyperlink" Target="https://youtu.be/wk1xLANL-6E" TargetMode="External"/><Relationship Id="rId9" Type="http://schemas.openxmlformats.org/officeDocument/2006/relationships/hyperlink" Target="https://youtu.be/Oyet2bzHM9w" TargetMode="External"/><Relationship Id="rId210" Type="http://schemas.openxmlformats.org/officeDocument/2006/relationships/hyperlink" Target="https://youtu.be/7hEPQSpzRl0" TargetMode="External"/><Relationship Id="rId392" Type="http://schemas.openxmlformats.org/officeDocument/2006/relationships/hyperlink" Target="https://www.youtube.com/watch?v=81gmzwD-Big" TargetMode="External"/><Relationship Id="rId252" Type="http://schemas.openxmlformats.org/officeDocument/2006/relationships/hyperlink" Target="https://youtu.be/tn1Zd_Y01Xw" TargetMode="External"/><Relationship Id="rId294" Type="http://schemas.openxmlformats.org/officeDocument/2006/relationships/hyperlink" Target="https://youtu.be/C_DrQyBltQo" TargetMode="External"/><Relationship Id="rId308" Type="http://schemas.openxmlformats.org/officeDocument/2006/relationships/hyperlink" Target="https://youtu.be/t45XIyEk1DQ" TargetMode="External"/><Relationship Id="rId47" Type="http://schemas.openxmlformats.org/officeDocument/2006/relationships/hyperlink" Target="https://www.youtube.com/watch?v=5H6ULe_4Avg" TargetMode="External"/><Relationship Id="rId89" Type="http://schemas.openxmlformats.org/officeDocument/2006/relationships/hyperlink" Target="https://www.youtube.com/watch?v=Cvy0xIPqbM0" TargetMode="External"/><Relationship Id="rId112" Type="http://schemas.openxmlformats.org/officeDocument/2006/relationships/hyperlink" Target="https://youtu.be/rAo2AWlhZYw" TargetMode="External"/><Relationship Id="rId154" Type="http://schemas.openxmlformats.org/officeDocument/2006/relationships/hyperlink" Target="https://youtu.be/aybHlwz6lzU" TargetMode="External"/><Relationship Id="rId361" Type="http://schemas.openxmlformats.org/officeDocument/2006/relationships/hyperlink" Target="https://youtu.be/CKAXBKcuGCk" TargetMode="External"/><Relationship Id="rId196" Type="http://schemas.openxmlformats.org/officeDocument/2006/relationships/hyperlink" Target="https://youtu.be/do_pgiTqqBU" TargetMode="External"/><Relationship Id="rId16" Type="http://schemas.openxmlformats.org/officeDocument/2006/relationships/hyperlink" Target="https://www.youtube.com/watch?v=grPXyaxKolk" TargetMode="External"/><Relationship Id="rId221" Type="http://schemas.openxmlformats.org/officeDocument/2006/relationships/hyperlink" Target="https://www.youtube.com/watch?v=PhM89RudxEI" TargetMode="External"/><Relationship Id="rId263" Type="http://schemas.openxmlformats.org/officeDocument/2006/relationships/hyperlink" Target="https://youtu.be/bK2qodVmOs0" TargetMode="External"/><Relationship Id="rId319" Type="http://schemas.openxmlformats.org/officeDocument/2006/relationships/hyperlink" Target="https://youtu.be/3C8esEVHrro" TargetMode="External"/><Relationship Id="rId37" Type="http://schemas.openxmlformats.org/officeDocument/2006/relationships/hyperlink" Target="https://www.youtube.com/watch?v=cSb13wkMf4s" TargetMode="External"/><Relationship Id="rId58" Type="http://schemas.openxmlformats.org/officeDocument/2006/relationships/hyperlink" Target="https://youtu.be/MKY-X2x4UcQ" TargetMode="External"/><Relationship Id="rId79" Type="http://schemas.openxmlformats.org/officeDocument/2006/relationships/hyperlink" Target="https://www.youtube.com/watch?v=5roJ2zJuUhA" TargetMode="External"/><Relationship Id="rId102" Type="http://schemas.openxmlformats.org/officeDocument/2006/relationships/hyperlink" Target="https://www.youtube.com/watch?v=jbFxMU8OwGg" TargetMode="External"/><Relationship Id="rId123" Type="http://schemas.openxmlformats.org/officeDocument/2006/relationships/hyperlink" Target="https://youtu.be/8QlREQ-5o7I" TargetMode="External"/><Relationship Id="rId144" Type="http://schemas.openxmlformats.org/officeDocument/2006/relationships/hyperlink" Target="https://www.youtube.com/watch?v=qKQkgEImcgE" TargetMode="External"/><Relationship Id="rId330" Type="http://schemas.openxmlformats.org/officeDocument/2006/relationships/hyperlink" Target="https://youtu.be/7WJb6d2ATek" TargetMode="External"/><Relationship Id="rId90" Type="http://schemas.openxmlformats.org/officeDocument/2006/relationships/hyperlink" Target="https://youtu.be/7oOgVxkoJuk" TargetMode="External"/><Relationship Id="rId165" Type="http://schemas.openxmlformats.org/officeDocument/2006/relationships/hyperlink" Target="https://youtu.be/45ehCCqmlWM" TargetMode="External"/><Relationship Id="rId186" Type="http://schemas.openxmlformats.org/officeDocument/2006/relationships/hyperlink" Target="https://youtu.be/MF_MxhLbcC4" TargetMode="External"/><Relationship Id="rId351" Type="http://schemas.openxmlformats.org/officeDocument/2006/relationships/hyperlink" Target="https://youtu.be/Cgbrkk1qHMM" TargetMode="External"/><Relationship Id="rId372" Type="http://schemas.openxmlformats.org/officeDocument/2006/relationships/hyperlink" Target="https://youtu.be/vpLXKYZR2ak" TargetMode="External"/><Relationship Id="rId393" Type="http://schemas.openxmlformats.org/officeDocument/2006/relationships/hyperlink" Target="https://youtu.be/P8dCNTj3T2k" TargetMode="External"/><Relationship Id="rId211" Type="http://schemas.openxmlformats.org/officeDocument/2006/relationships/hyperlink" Target="https://www.youtube.com/watch?v=i7HP4QqHRJU" TargetMode="External"/><Relationship Id="rId232" Type="http://schemas.openxmlformats.org/officeDocument/2006/relationships/hyperlink" Target="https://www.youtube.com/watch?v=0XabTTiq1mk" TargetMode="External"/><Relationship Id="rId253" Type="http://schemas.openxmlformats.org/officeDocument/2006/relationships/hyperlink" Target="https://youtu.be/gkXgVh9qbHw" TargetMode="External"/><Relationship Id="rId274" Type="http://schemas.openxmlformats.org/officeDocument/2006/relationships/hyperlink" Target="https://youtu.be/7Y-F8g-edyo" TargetMode="External"/><Relationship Id="rId295" Type="http://schemas.openxmlformats.org/officeDocument/2006/relationships/hyperlink" Target="https://youtu.be/LiOk6ozwBo0" TargetMode="External"/><Relationship Id="rId309" Type="http://schemas.openxmlformats.org/officeDocument/2006/relationships/hyperlink" Target="https://youtu.be/DKtdTsBpFJU" TargetMode="External"/><Relationship Id="rId27" Type="http://schemas.openxmlformats.org/officeDocument/2006/relationships/hyperlink" Target="https://www.youtube.com/watch?v=MBCWfkctxP4" TargetMode="External"/><Relationship Id="rId48" Type="http://schemas.openxmlformats.org/officeDocument/2006/relationships/hyperlink" Target="https://www.youtube.com/watch?v=anygyPFMy5E" TargetMode="External"/><Relationship Id="rId69" Type="http://schemas.openxmlformats.org/officeDocument/2006/relationships/hyperlink" Target="https://youtu.be/JVV8I3Q9eqQ" TargetMode="External"/><Relationship Id="rId113" Type="http://schemas.openxmlformats.org/officeDocument/2006/relationships/hyperlink" Target="https://youtu.be/2c4NgPwyODw" TargetMode="External"/><Relationship Id="rId134" Type="http://schemas.openxmlformats.org/officeDocument/2006/relationships/hyperlink" Target="https://youtu.be/KUXKgcVZQco" TargetMode="External"/><Relationship Id="rId320" Type="http://schemas.openxmlformats.org/officeDocument/2006/relationships/hyperlink" Target="https://youtu.be/WRXABVVmohA" TargetMode="External"/><Relationship Id="rId80" Type="http://schemas.openxmlformats.org/officeDocument/2006/relationships/hyperlink" Target="https://youtu.be/3jLqtxrlAsI" TargetMode="External"/><Relationship Id="rId155" Type="http://schemas.openxmlformats.org/officeDocument/2006/relationships/hyperlink" Target="https://www.youtube.com/watch?v=viWcZM4ErTE" TargetMode="External"/><Relationship Id="rId176" Type="http://schemas.openxmlformats.org/officeDocument/2006/relationships/hyperlink" Target="https://www.youtube.com/watch?v=KeYeluQbbKA" TargetMode="External"/><Relationship Id="rId197" Type="http://schemas.openxmlformats.org/officeDocument/2006/relationships/hyperlink" Target="https://www.youtube.com/watch?v=e02hEeVd0zA" TargetMode="External"/><Relationship Id="rId341" Type="http://schemas.openxmlformats.org/officeDocument/2006/relationships/hyperlink" Target="https://youtu.be/kVqv6hRKdoI" TargetMode="External"/><Relationship Id="rId362" Type="http://schemas.openxmlformats.org/officeDocument/2006/relationships/hyperlink" Target="https://youtu.be/RIfdTYhrdGg" TargetMode="External"/><Relationship Id="rId383" Type="http://schemas.openxmlformats.org/officeDocument/2006/relationships/hyperlink" Target="https://youtu.be/Cm48hwLorfo" TargetMode="External"/><Relationship Id="rId201" Type="http://schemas.openxmlformats.org/officeDocument/2006/relationships/hyperlink" Target="https://www.youtube.com/watch?v=ww3MMy210Og" TargetMode="External"/><Relationship Id="rId222" Type="http://schemas.openxmlformats.org/officeDocument/2006/relationships/hyperlink" Target="https://www.youtube.com/watch?v=0HhbPFeJx2w" TargetMode="External"/><Relationship Id="rId243" Type="http://schemas.openxmlformats.org/officeDocument/2006/relationships/hyperlink" Target="https://youtu.be/41E9Um6Cjxc" TargetMode="External"/><Relationship Id="rId264" Type="http://schemas.openxmlformats.org/officeDocument/2006/relationships/hyperlink" Target="https://youtu.be/HkFKfNVpw4U" TargetMode="External"/><Relationship Id="rId285" Type="http://schemas.openxmlformats.org/officeDocument/2006/relationships/hyperlink" Target="https://youtu.be/rKmX8C3uKe4" TargetMode="External"/><Relationship Id="rId17" Type="http://schemas.openxmlformats.org/officeDocument/2006/relationships/hyperlink" Target="https://www.youtube.com/watch?v=mMcg2PC8maY" TargetMode="External"/><Relationship Id="rId38" Type="http://schemas.openxmlformats.org/officeDocument/2006/relationships/hyperlink" Target="https://www.youtube.com/watch?v=ByviT0GVNQc" TargetMode="External"/><Relationship Id="rId59" Type="http://schemas.openxmlformats.org/officeDocument/2006/relationships/hyperlink" Target="https://www.youtube.com/watch?v=BGjRxjQI7qI" TargetMode="External"/><Relationship Id="rId103" Type="http://schemas.openxmlformats.org/officeDocument/2006/relationships/hyperlink" Target="https://youtu.be/48L2xSEhGuk" TargetMode="External"/><Relationship Id="rId124" Type="http://schemas.openxmlformats.org/officeDocument/2006/relationships/hyperlink" Target="https://youtu.be/xHLI0kMuCFo" TargetMode="External"/><Relationship Id="rId310" Type="http://schemas.openxmlformats.org/officeDocument/2006/relationships/hyperlink" Target="https://youtu.be/RI8vb34fmlM" TargetMode="External"/><Relationship Id="rId70" Type="http://schemas.openxmlformats.org/officeDocument/2006/relationships/hyperlink" Target="https://www.youtube.com/watch?v=sNLpxv3--dQ" TargetMode="External"/><Relationship Id="rId91" Type="http://schemas.openxmlformats.org/officeDocument/2006/relationships/hyperlink" Target="https://youtu.be/QvH6isQ1CEE" TargetMode="External"/><Relationship Id="rId145" Type="http://schemas.openxmlformats.org/officeDocument/2006/relationships/hyperlink" Target="https://youtu.be/wJTb7cQ3dy0" TargetMode="External"/><Relationship Id="rId166" Type="http://schemas.openxmlformats.org/officeDocument/2006/relationships/hyperlink" Target="https://www.youtube.com/watch?v=eBdObMRmdKA" TargetMode="External"/><Relationship Id="rId187" Type="http://schemas.openxmlformats.org/officeDocument/2006/relationships/hyperlink" Target="https://www.youtube.com/watch?v=dCmpq2MxTJE" TargetMode="External"/><Relationship Id="rId331" Type="http://schemas.openxmlformats.org/officeDocument/2006/relationships/hyperlink" Target="https://youtu.be/ZBAxkXUn_Fc" TargetMode="External"/><Relationship Id="rId352" Type="http://schemas.openxmlformats.org/officeDocument/2006/relationships/hyperlink" Target="https://youtu.be/b832nN615Ts" TargetMode="External"/><Relationship Id="rId373" Type="http://schemas.openxmlformats.org/officeDocument/2006/relationships/hyperlink" Target="https://youtu.be/WOAhumHs3Sk" TargetMode="External"/><Relationship Id="rId394" Type="http://schemas.openxmlformats.org/officeDocument/2006/relationships/printerSettings" Target="../printerSettings/printerSettings1.bin"/><Relationship Id="rId1" Type="http://schemas.openxmlformats.org/officeDocument/2006/relationships/hyperlink" Target="http://www.premier-salut.ru/" TargetMode="External"/><Relationship Id="rId212" Type="http://schemas.openxmlformats.org/officeDocument/2006/relationships/hyperlink" Target="https://www.youtube.com/watch?v=FyB4HIjtEfI" TargetMode="External"/><Relationship Id="rId233" Type="http://schemas.openxmlformats.org/officeDocument/2006/relationships/hyperlink" Target="https://youtu.be/T8EzNUGRfYE" TargetMode="External"/><Relationship Id="rId254" Type="http://schemas.openxmlformats.org/officeDocument/2006/relationships/hyperlink" Target="https://youtu.be/hhmYc1DPso0" TargetMode="External"/><Relationship Id="rId28" Type="http://schemas.openxmlformats.org/officeDocument/2006/relationships/hyperlink" Target="https://www.youtube.com/watch?v=FNpm997OfgY" TargetMode="External"/><Relationship Id="rId49" Type="http://schemas.openxmlformats.org/officeDocument/2006/relationships/hyperlink" Target="https://www.youtube.com/watch?v=min2Z1w94Us" TargetMode="External"/><Relationship Id="rId114" Type="http://schemas.openxmlformats.org/officeDocument/2006/relationships/hyperlink" Target="https://youtu.be/fl1RGsayRNc" TargetMode="External"/><Relationship Id="rId275" Type="http://schemas.openxmlformats.org/officeDocument/2006/relationships/hyperlink" Target="https://youtu.be/jt_DQFmByD8" TargetMode="External"/><Relationship Id="rId296" Type="http://schemas.openxmlformats.org/officeDocument/2006/relationships/hyperlink" Target="https://youtu.be/XBcW-AFBHyE" TargetMode="External"/><Relationship Id="rId300" Type="http://schemas.openxmlformats.org/officeDocument/2006/relationships/hyperlink" Target="https://youtu.be/gaRfegRS7oA" TargetMode="External"/><Relationship Id="rId60" Type="http://schemas.openxmlformats.org/officeDocument/2006/relationships/hyperlink" Target="https://www.youtube.com/watch?v=t_sGeh6paRw" TargetMode="External"/><Relationship Id="rId81" Type="http://schemas.openxmlformats.org/officeDocument/2006/relationships/hyperlink" Target="https://youtu.be/oOAbI1ZoQCw" TargetMode="External"/><Relationship Id="rId135" Type="http://schemas.openxmlformats.org/officeDocument/2006/relationships/hyperlink" Target="https://www.youtube.com/watch?v=Qu3L8bRDi1Y" TargetMode="External"/><Relationship Id="rId156" Type="http://schemas.openxmlformats.org/officeDocument/2006/relationships/hyperlink" Target="https://youtu.be/FW3ARRTcRDE" TargetMode="External"/><Relationship Id="rId177" Type="http://schemas.openxmlformats.org/officeDocument/2006/relationships/hyperlink" Target="https://youtu.be/4kQkn3YbyEU" TargetMode="External"/><Relationship Id="rId198" Type="http://schemas.openxmlformats.org/officeDocument/2006/relationships/hyperlink" Target="https://www.youtube.com/watch?v=1NMdHKKxKOQ" TargetMode="External"/><Relationship Id="rId321" Type="http://schemas.openxmlformats.org/officeDocument/2006/relationships/hyperlink" Target="https://youtu.be/0NY2YlOBjAY" TargetMode="External"/><Relationship Id="rId342" Type="http://schemas.openxmlformats.org/officeDocument/2006/relationships/hyperlink" Target="https://youtu.be/sr6MMMNEh6o" TargetMode="External"/><Relationship Id="rId363" Type="http://schemas.openxmlformats.org/officeDocument/2006/relationships/hyperlink" Target="https://youtu.be/1i6HW4sx6f4" TargetMode="External"/><Relationship Id="rId384" Type="http://schemas.openxmlformats.org/officeDocument/2006/relationships/hyperlink" Target="https://youtu.be/Vif7UJ6A7Po" TargetMode="External"/><Relationship Id="rId202" Type="http://schemas.openxmlformats.org/officeDocument/2006/relationships/hyperlink" Target="https://www.youtube.com/watch?v=ww3MMy210Og" TargetMode="External"/><Relationship Id="rId223" Type="http://schemas.openxmlformats.org/officeDocument/2006/relationships/hyperlink" Target="https://www.youtube.com/watch?v=P-9exi4Wqfg" TargetMode="External"/><Relationship Id="rId244" Type="http://schemas.openxmlformats.org/officeDocument/2006/relationships/hyperlink" Target="https://youtu.be/xKhiyjb6gBY" TargetMode="External"/><Relationship Id="rId18" Type="http://schemas.openxmlformats.org/officeDocument/2006/relationships/hyperlink" Target="https://www.youtube.com/watch?v=2PruLbxfHo8" TargetMode="External"/><Relationship Id="rId39" Type="http://schemas.openxmlformats.org/officeDocument/2006/relationships/hyperlink" Target="https://www.youtube.com/watch?v=EZG7KqFmxLM" TargetMode="External"/><Relationship Id="rId265" Type="http://schemas.openxmlformats.org/officeDocument/2006/relationships/hyperlink" Target="https://youtu.be/IMuzO2hU7Qo" TargetMode="External"/><Relationship Id="rId286" Type="http://schemas.openxmlformats.org/officeDocument/2006/relationships/hyperlink" Target="https://youtu.be/dfRSaKan4e4" TargetMode="External"/><Relationship Id="rId50" Type="http://schemas.openxmlformats.org/officeDocument/2006/relationships/hyperlink" Target="https://www.youtube.com/watch?v=JZPOW9U7IqI" TargetMode="External"/><Relationship Id="rId104" Type="http://schemas.openxmlformats.org/officeDocument/2006/relationships/hyperlink" Target="https://youtu.be/m-ymV9aoi3s" TargetMode="External"/><Relationship Id="rId125" Type="http://schemas.openxmlformats.org/officeDocument/2006/relationships/hyperlink" Target="https://youtu.be/Cnw1B6hNjaI" TargetMode="External"/><Relationship Id="rId146" Type="http://schemas.openxmlformats.org/officeDocument/2006/relationships/hyperlink" Target="https://www.youtube.com/watch?v=YlKeJs2V6UE" TargetMode="External"/><Relationship Id="rId167" Type="http://schemas.openxmlformats.org/officeDocument/2006/relationships/hyperlink" Target="https://youtu.be/E-4HeRAshI4" TargetMode="External"/><Relationship Id="rId188" Type="http://schemas.openxmlformats.org/officeDocument/2006/relationships/hyperlink" Target="https://youtu.be/SsD1U7S21wc" TargetMode="External"/><Relationship Id="rId311" Type="http://schemas.openxmlformats.org/officeDocument/2006/relationships/hyperlink" Target="https://youtu.be/cyT9vHjO0UM" TargetMode="External"/><Relationship Id="rId332" Type="http://schemas.openxmlformats.org/officeDocument/2006/relationships/hyperlink" Target="https://youtu.be/plaLRZ53PXY" TargetMode="External"/><Relationship Id="rId353" Type="http://schemas.openxmlformats.org/officeDocument/2006/relationships/hyperlink" Target="https://youtu.be/Cgbrkk1qHMM" TargetMode="External"/><Relationship Id="rId374" Type="http://schemas.openxmlformats.org/officeDocument/2006/relationships/hyperlink" Target="https://youtu.be/2rqYhdgIs0Y" TargetMode="External"/><Relationship Id="rId395" Type="http://schemas.openxmlformats.org/officeDocument/2006/relationships/drawing" Target="../drawings/drawing1.xml"/><Relationship Id="rId71" Type="http://schemas.openxmlformats.org/officeDocument/2006/relationships/hyperlink" Target="https://youtu.be/dvjtmUoXz_E" TargetMode="External"/><Relationship Id="rId92" Type="http://schemas.openxmlformats.org/officeDocument/2006/relationships/hyperlink" Target="https://www.youtube.com/watch?v=igMjJX7-MqA" TargetMode="External"/><Relationship Id="rId213" Type="http://schemas.openxmlformats.org/officeDocument/2006/relationships/hyperlink" Target="https://www.youtube.com/watch?v=X7QPMKUPktc" TargetMode="External"/><Relationship Id="rId234" Type="http://schemas.openxmlformats.org/officeDocument/2006/relationships/hyperlink" Target="https://www.youtube.com/watch?v=DRTfbBHaOAU" TargetMode="External"/><Relationship Id="rId2" Type="http://schemas.openxmlformats.org/officeDocument/2006/relationships/hyperlink" Target="https://www.youtube.com/watch?v=pFhLRS6wcqs" TargetMode="External"/><Relationship Id="rId29" Type="http://schemas.openxmlformats.org/officeDocument/2006/relationships/hyperlink" Target="https://youtu.be/qsQdQo2Qhrk" TargetMode="External"/><Relationship Id="rId255" Type="http://schemas.openxmlformats.org/officeDocument/2006/relationships/hyperlink" Target="https://youtu.be/Xk6ATtFj55g" TargetMode="External"/><Relationship Id="rId276" Type="http://schemas.openxmlformats.org/officeDocument/2006/relationships/hyperlink" Target="https://youtu.be/dLVQSv6n_dQ" TargetMode="External"/><Relationship Id="rId297" Type="http://schemas.openxmlformats.org/officeDocument/2006/relationships/hyperlink" Target="https://youtu.be/BfTbSRH3UhE" TargetMode="External"/><Relationship Id="rId40" Type="http://schemas.openxmlformats.org/officeDocument/2006/relationships/hyperlink" Target="https://www.youtube.com/watch?v=nhpNa_K2Ry8" TargetMode="External"/><Relationship Id="rId115" Type="http://schemas.openxmlformats.org/officeDocument/2006/relationships/hyperlink" Target="https://youtu.be/nvxMB4WfEPE" TargetMode="External"/><Relationship Id="rId136" Type="http://schemas.openxmlformats.org/officeDocument/2006/relationships/hyperlink" Target="https://www.youtube.com/watch?v=WxpXW-2rOIw" TargetMode="External"/><Relationship Id="rId157" Type="http://schemas.openxmlformats.org/officeDocument/2006/relationships/hyperlink" Target="https://www.youtube.com/watch?v=ZXUwqTEVJkQ" TargetMode="External"/><Relationship Id="rId178" Type="http://schemas.openxmlformats.org/officeDocument/2006/relationships/hyperlink" Target="https://www.youtube.com/watch?v=2qcc3GOjqyk" TargetMode="External"/><Relationship Id="rId301" Type="http://schemas.openxmlformats.org/officeDocument/2006/relationships/hyperlink" Target="https://youtu.be/oEInRhUu0qo" TargetMode="External"/><Relationship Id="rId322" Type="http://schemas.openxmlformats.org/officeDocument/2006/relationships/hyperlink" Target="https://youtu.be/mvOWbof-7ks" TargetMode="External"/><Relationship Id="rId343" Type="http://schemas.openxmlformats.org/officeDocument/2006/relationships/hyperlink" Target="https://youtu.be/Cgbrkk1qHMM" TargetMode="External"/><Relationship Id="rId364" Type="http://schemas.openxmlformats.org/officeDocument/2006/relationships/hyperlink" Target="https://youtu.be/KtvnY0UNHlA" TargetMode="External"/><Relationship Id="rId61" Type="http://schemas.openxmlformats.org/officeDocument/2006/relationships/hyperlink" Target="https://www.youtube.com/watch?v=qCswxNZPOPY" TargetMode="External"/><Relationship Id="rId82" Type="http://schemas.openxmlformats.org/officeDocument/2006/relationships/hyperlink" Target="https://youtu.be/Mngs1CE8uBk" TargetMode="External"/><Relationship Id="rId199" Type="http://schemas.openxmlformats.org/officeDocument/2006/relationships/hyperlink" Target="https://youtu.be/_sUNe_LsSuU" TargetMode="External"/><Relationship Id="rId203" Type="http://schemas.openxmlformats.org/officeDocument/2006/relationships/hyperlink" Target="https://youtu.be/4Mgw3OesLeE" TargetMode="External"/><Relationship Id="rId385" Type="http://schemas.openxmlformats.org/officeDocument/2006/relationships/hyperlink" Target="https://youtu.be/Hr1xmi2wMZs" TargetMode="External"/><Relationship Id="rId19" Type="http://schemas.openxmlformats.org/officeDocument/2006/relationships/hyperlink" Target="https://www.youtube.com/watch?v=nO5GV0Yrujw" TargetMode="External"/><Relationship Id="rId224" Type="http://schemas.openxmlformats.org/officeDocument/2006/relationships/hyperlink" Target="https://www.youtube.com/watch?v=wB1pxp-4Xuc" TargetMode="External"/><Relationship Id="rId245" Type="http://schemas.openxmlformats.org/officeDocument/2006/relationships/hyperlink" Target="https://youtu.be/-qQo6oIr0Mw" TargetMode="External"/><Relationship Id="rId266" Type="http://schemas.openxmlformats.org/officeDocument/2006/relationships/hyperlink" Target="https://youtu.be/ySd_l01SjCA" TargetMode="External"/><Relationship Id="rId287" Type="http://schemas.openxmlformats.org/officeDocument/2006/relationships/hyperlink" Target="https://youtu.be/VQxS6BkZBL0" TargetMode="External"/><Relationship Id="rId30" Type="http://schemas.openxmlformats.org/officeDocument/2006/relationships/hyperlink" Target="https://www.youtube.com/watch?v=X05yytaRC00" TargetMode="External"/><Relationship Id="rId105" Type="http://schemas.openxmlformats.org/officeDocument/2006/relationships/hyperlink" Target="https://youtu.be/LhRM6N6o8_w" TargetMode="External"/><Relationship Id="rId126" Type="http://schemas.openxmlformats.org/officeDocument/2006/relationships/hyperlink" Target="https://youtu.be/rZwr_sFWQZs" TargetMode="External"/><Relationship Id="rId147" Type="http://schemas.openxmlformats.org/officeDocument/2006/relationships/hyperlink" Target="https://youtu.be/mnHM9l0c-i0" TargetMode="External"/><Relationship Id="rId168" Type="http://schemas.openxmlformats.org/officeDocument/2006/relationships/hyperlink" Target="https://youtu.be/ZS07G2bwSEQ" TargetMode="External"/><Relationship Id="rId312" Type="http://schemas.openxmlformats.org/officeDocument/2006/relationships/hyperlink" Target="https://youtu.be/46mvHFPqkEQ" TargetMode="External"/><Relationship Id="rId333" Type="http://schemas.openxmlformats.org/officeDocument/2006/relationships/hyperlink" Target="https://youtu.be/mX6mM-jp01s" TargetMode="External"/><Relationship Id="rId354" Type="http://schemas.openxmlformats.org/officeDocument/2006/relationships/hyperlink" Target="https://youtu.be/uYbHZkGinYg" TargetMode="External"/><Relationship Id="rId51" Type="http://schemas.openxmlformats.org/officeDocument/2006/relationships/hyperlink" Target="https://www.youtube.com/watch?v=xJC_63YYaOs" TargetMode="External"/><Relationship Id="rId72" Type="http://schemas.openxmlformats.org/officeDocument/2006/relationships/hyperlink" Target="https://www.youtube.com/watch?v=3Am55QtAXYk" TargetMode="External"/><Relationship Id="rId93" Type="http://schemas.openxmlformats.org/officeDocument/2006/relationships/hyperlink" Target="https://www.youtube.com/watch?v=53tNuIVnbDU" TargetMode="External"/><Relationship Id="rId189" Type="http://schemas.openxmlformats.org/officeDocument/2006/relationships/hyperlink" Target="https://www.youtube.com/watch?v=ga9T19rMnlY" TargetMode="External"/><Relationship Id="rId375" Type="http://schemas.openxmlformats.org/officeDocument/2006/relationships/hyperlink" Target="https://youtu.be/z0aoS9NoY84" TargetMode="External"/><Relationship Id="rId396" Type="http://schemas.openxmlformats.org/officeDocument/2006/relationships/vmlDrawing" Target="../drawings/vmlDrawing1.vml"/><Relationship Id="rId3" Type="http://schemas.openxmlformats.org/officeDocument/2006/relationships/hyperlink" Target="https://youtu.be/omyg873XODk" TargetMode="External"/><Relationship Id="rId214" Type="http://schemas.openxmlformats.org/officeDocument/2006/relationships/hyperlink" Target="https://www.youtube.com/watch?v=Hn4RWyktYuM" TargetMode="External"/><Relationship Id="rId235" Type="http://schemas.openxmlformats.org/officeDocument/2006/relationships/hyperlink" Target="https://youtu.be/OZiT3OKNaN8" TargetMode="External"/><Relationship Id="rId256" Type="http://schemas.openxmlformats.org/officeDocument/2006/relationships/hyperlink" Target="https://youtu.be/UPm-eIJIIHw" TargetMode="External"/><Relationship Id="rId277" Type="http://schemas.openxmlformats.org/officeDocument/2006/relationships/hyperlink" Target="https://youtu.be/GxzUYk57wZA" TargetMode="External"/><Relationship Id="rId298" Type="http://schemas.openxmlformats.org/officeDocument/2006/relationships/hyperlink" Target="https://youtu.be/Cgbrkk1qHMM" TargetMode="External"/><Relationship Id="rId116" Type="http://schemas.openxmlformats.org/officeDocument/2006/relationships/hyperlink" Target="https://youtu.be/G3z7UR99gMI" TargetMode="External"/><Relationship Id="rId137" Type="http://schemas.openxmlformats.org/officeDocument/2006/relationships/hyperlink" Target="https://youtu.be/Q7JGgEsWwhE" TargetMode="External"/><Relationship Id="rId158" Type="http://schemas.openxmlformats.org/officeDocument/2006/relationships/hyperlink" Target="https://www.youtube.com/watch?v=XS74Yr8-Ccg" TargetMode="External"/><Relationship Id="rId302" Type="http://schemas.openxmlformats.org/officeDocument/2006/relationships/hyperlink" Target="https://youtu.be/cCiMTvbK-c0" TargetMode="External"/><Relationship Id="rId323" Type="http://schemas.openxmlformats.org/officeDocument/2006/relationships/hyperlink" Target="https://youtu.be/fQbKs-Zz41A" TargetMode="External"/><Relationship Id="rId344" Type="http://schemas.openxmlformats.org/officeDocument/2006/relationships/hyperlink" Target="https://youtu.be/UR5LaQwKEis" TargetMode="External"/><Relationship Id="rId20" Type="http://schemas.openxmlformats.org/officeDocument/2006/relationships/hyperlink" Target="https://www.youtube.com/watch?v=8RlhBMHPT6c" TargetMode="External"/><Relationship Id="rId41" Type="http://schemas.openxmlformats.org/officeDocument/2006/relationships/hyperlink" Target="https://www.youtube.com/watch?v=RgMWbqOpgh0" TargetMode="External"/><Relationship Id="rId62" Type="http://schemas.openxmlformats.org/officeDocument/2006/relationships/hyperlink" Target="https://youtu.be/hMqq9TGKS2s" TargetMode="External"/><Relationship Id="rId83" Type="http://schemas.openxmlformats.org/officeDocument/2006/relationships/hyperlink" Target="https://youtu.be/yf9_I5Vwr_E" TargetMode="External"/><Relationship Id="rId179" Type="http://schemas.openxmlformats.org/officeDocument/2006/relationships/hyperlink" Target="https://youtu.be/G1oOMfVH7UU" TargetMode="External"/><Relationship Id="rId365" Type="http://schemas.openxmlformats.org/officeDocument/2006/relationships/hyperlink" Target="https://youtu.be/pKXlKK0L5ng" TargetMode="External"/><Relationship Id="rId386" Type="http://schemas.openxmlformats.org/officeDocument/2006/relationships/hyperlink" Target="https://youtu.be/uOqqIjBuUsg" TargetMode="External"/><Relationship Id="rId190" Type="http://schemas.openxmlformats.org/officeDocument/2006/relationships/hyperlink" Target="https://www.youtube.com/watch?v=kf0EW0KWFPQ" TargetMode="External"/><Relationship Id="rId204" Type="http://schemas.openxmlformats.org/officeDocument/2006/relationships/hyperlink" Target="https://www.youtube.com/watch?v=UjQJHUyZOh8" TargetMode="External"/><Relationship Id="rId225" Type="http://schemas.openxmlformats.org/officeDocument/2006/relationships/hyperlink" Target="https://www.youtube.com/watch?v=y5ifEZTeBWU" TargetMode="External"/><Relationship Id="rId246" Type="http://schemas.openxmlformats.org/officeDocument/2006/relationships/hyperlink" Target="https://youtu.be/kdg4Bi68MXk" TargetMode="External"/><Relationship Id="rId267" Type="http://schemas.openxmlformats.org/officeDocument/2006/relationships/hyperlink" Target="https://youtu.be/VfoYbvfLsTg" TargetMode="External"/><Relationship Id="rId288" Type="http://schemas.openxmlformats.org/officeDocument/2006/relationships/hyperlink" Target="https://youtu.be/uKK_mv9rdK0" TargetMode="External"/><Relationship Id="rId106" Type="http://schemas.openxmlformats.org/officeDocument/2006/relationships/hyperlink" Target="https://youtu.be/09VNa-rMO9Y" TargetMode="External"/><Relationship Id="rId127" Type="http://schemas.openxmlformats.org/officeDocument/2006/relationships/hyperlink" Target="https://youtu.be/5K_V2879vEo" TargetMode="External"/><Relationship Id="rId313" Type="http://schemas.openxmlformats.org/officeDocument/2006/relationships/hyperlink" Target="https://youtu.be/PWKvkMOwSMc" TargetMode="External"/><Relationship Id="rId10" Type="http://schemas.openxmlformats.org/officeDocument/2006/relationships/hyperlink" Target="https://www.youtube.com/watch?v=zjugFNohm2U" TargetMode="External"/><Relationship Id="rId31" Type="http://schemas.openxmlformats.org/officeDocument/2006/relationships/hyperlink" Target="https://www.youtube.com/watch?v=xJC_63YYaOs" TargetMode="External"/><Relationship Id="rId52" Type="http://schemas.openxmlformats.org/officeDocument/2006/relationships/hyperlink" Target="https://www.youtube.com/watch?v=dB394nGTwyc" TargetMode="External"/><Relationship Id="rId73" Type="http://schemas.openxmlformats.org/officeDocument/2006/relationships/hyperlink" Target="https://www.youtube.com/watch?v=xyMdLZhSS9g" TargetMode="External"/><Relationship Id="rId94" Type="http://schemas.openxmlformats.org/officeDocument/2006/relationships/hyperlink" Target="https://youtu.be/jUkFAZoV0S8" TargetMode="External"/><Relationship Id="rId148" Type="http://schemas.openxmlformats.org/officeDocument/2006/relationships/hyperlink" Target="https://youtu.be/xKD8uVHIYyw" TargetMode="External"/><Relationship Id="rId169" Type="http://schemas.openxmlformats.org/officeDocument/2006/relationships/hyperlink" Target="https://youtu.be/0xFp45dohcA" TargetMode="External"/><Relationship Id="rId334" Type="http://schemas.openxmlformats.org/officeDocument/2006/relationships/hyperlink" Target="https://youtu.be/WXDEVVnimgY" TargetMode="External"/><Relationship Id="rId355" Type="http://schemas.openxmlformats.org/officeDocument/2006/relationships/hyperlink" Target="https://youtu.be/i1EZ4WgwTkY" TargetMode="External"/><Relationship Id="rId376" Type="http://schemas.openxmlformats.org/officeDocument/2006/relationships/hyperlink" Target="https://youtu.be/VV3oYFfpGR0" TargetMode="External"/><Relationship Id="rId397" Type="http://schemas.openxmlformats.org/officeDocument/2006/relationships/comments" Target="../comments1.xml"/><Relationship Id="rId4" Type="http://schemas.openxmlformats.org/officeDocument/2006/relationships/hyperlink" Target="https://youtu.be/NRuDcbOjhbY" TargetMode="External"/><Relationship Id="rId180" Type="http://schemas.openxmlformats.org/officeDocument/2006/relationships/hyperlink" Target="https://youtu.be/xwUQecc7Zlk" TargetMode="External"/><Relationship Id="rId215" Type="http://schemas.openxmlformats.org/officeDocument/2006/relationships/hyperlink" Target="https://www.youtube.com/watch?v=u7-Y_YuaJUI" TargetMode="External"/><Relationship Id="rId236" Type="http://schemas.openxmlformats.org/officeDocument/2006/relationships/hyperlink" Target="https://youtu.be/IuAn2yALB3A" TargetMode="External"/><Relationship Id="rId257" Type="http://schemas.openxmlformats.org/officeDocument/2006/relationships/hyperlink" Target="https://youtu.be/R4UcYlCxJw8" TargetMode="External"/><Relationship Id="rId278" Type="http://schemas.openxmlformats.org/officeDocument/2006/relationships/hyperlink" Target="https://youtu.be/Z-0Zo_R6Rk0" TargetMode="External"/><Relationship Id="rId303" Type="http://schemas.openxmlformats.org/officeDocument/2006/relationships/hyperlink" Target="https://youtu.be/GuHBv-cC8nY" TargetMode="External"/><Relationship Id="rId42" Type="http://schemas.openxmlformats.org/officeDocument/2006/relationships/hyperlink" Target="https://www.youtube.com/watch?v=OrDhUzo2S98" TargetMode="External"/><Relationship Id="rId84" Type="http://schemas.openxmlformats.org/officeDocument/2006/relationships/hyperlink" Target="https://www.youtube.com/watch?v=cksKvb0sgJs" TargetMode="External"/><Relationship Id="rId138" Type="http://schemas.openxmlformats.org/officeDocument/2006/relationships/hyperlink" Target="https://youtu.be/A4iUlCdZeIo" TargetMode="External"/><Relationship Id="rId345" Type="http://schemas.openxmlformats.org/officeDocument/2006/relationships/hyperlink" Target="https://youtu.be/Mw11_k_B784" TargetMode="External"/><Relationship Id="rId387" Type="http://schemas.openxmlformats.org/officeDocument/2006/relationships/hyperlink" Target="https://youtu.be/fjldaYf1O8E" TargetMode="External"/><Relationship Id="rId191" Type="http://schemas.openxmlformats.org/officeDocument/2006/relationships/hyperlink" Target="https://www.youtube.com/watch?v=Xz-NjEhdD9U" TargetMode="External"/><Relationship Id="rId205" Type="http://schemas.openxmlformats.org/officeDocument/2006/relationships/hyperlink" Target="https://www.youtube.com/watch?v=BpxgUuIbuuA" TargetMode="External"/><Relationship Id="rId247" Type="http://schemas.openxmlformats.org/officeDocument/2006/relationships/hyperlink" Target="https://youtu.be/lFbw5aQcG7Q" TargetMode="External"/><Relationship Id="rId107" Type="http://schemas.openxmlformats.org/officeDocument/2006/relationships/hyperlink" Target="https://youtu.be/MynOjr0_FJ8" TargetMode="External"/><Relationship Id="rId289" Type="http://schemas.openxmlformats.org/officeDocument/2006/relationships/hyperlink" Target="https://youtu.be/baUEJipxlfA" TargetMode="External"/><Relationship Id="rId11" Type="http://schemas.openxmlformats.org/officeDocument/2006/relationships/hyperlink" Target="https://www.youtube.com/watch?v=0JASxJgFv3Q" TargetMode="External"/><Relationship Id="rId53" Type="http://schemas.openxmlformats.org/officeDocument/2006/relationships/hyperlink" Target="https://www.youtube.com/watch?v=FW-wXtDD4JQ" TargetMode="External"/><Relationship Id="rId149" Type="http://schemas.openxmlformats.org/officeDocument/2006/relationships/hyperlink" Target="https://www.youtube.com/watch?v=NNOSk2i_qZQ" TargetMode="External"/><Relationship Id="rId314" Type="http://schemas.openxmlformats.org/officeDocument/2006/relationships/hyperlink" Target="https://youtu.be/e3Zguiu1P3Y" TargetMode="External"/><Relationship Id="rId356" Type="http://schemas.openxmlformats.org/officeDocument/2006/relationships/hyperlink" Target="https://youtu.be/Cgbrkk1qHMM" TargetMode="External"/><Relationship Id="rId95" Type="http://schemas.openxmlformats.org/officeDocument/2006/relationships/hyperlink" Target="https://www.youtube.com/watch?v=ShbsmEAYhD0" TargetMode="External"/><Relationship Id="rId160" Type="http://schemas.openxmlformats.org/officeDocument/2006/relationships/hyperlink" Target="https://youtu.be/ouZE1fNcMF8" TargetMode="External"/><Relationship Id="rId216" Type="http://schemas.openxmlformats.org/officeDocument/2006/relationships/hyperlink" Target="https://www.youtube.com/watch?v=ZXoJI6DzsNI" TargetMode="External"/><Relationship Id="rId258" Type="http://schemas.openxmlformats.org/officeDocument/2006/relationships/hyperlink" Target="https://youtu.be/hj9n2kxP1p8" TargetMode="External"/><Relationship Id="rId22" Type="http://schemas.openxmlformats.org/officeDocument/2006/relationships/hyperlink" Target="https://www.youtube.com/watch?v=zhOg5DarIc4" TargetMode="External"/><Relationship Id="rId64" Type="http://schemas.openxmlformats.org/officeDocument/2006/relationships/hyperlink" Target="https://www.youtube.com/watch?v=FvdeAn7T9Og" TargetMode="External"/><Relationship Id="rId118" Type="http://schemas.openxmlformats.org/officeDocument/2006/relationships/hyperlink" Target="https://youtu.be/FFeErwUxHaY" TargetMode="External"/><Relationship Id="rId325" Type="http://schemas.openxmlformats.org/officeDocument/2006/relationships/hyperlink" Target="https://youtu.be/AX5rMtjiSlk" TargetMode="External"/><Relationship Id="rId367" Type="http://schemas.openxmlformats.org/officeDocument/2006/relationships/hyperlink" Target="https://youtu.be/T8t0X_oW-Lg" TargetMode="External"/><Relationship Id="rId171" Type="http://schemas.openxmlformats.org/officeDocument/2006/relationships/hyperlink" Target="https://www.youtube.com/watch?v=c6NbcmwGBf8" TargetMode="External"/><Relationship Id="rId227" Type="http://schemas.openxmlformats.org/officeDocument/2006/relationships/hyperlink" Target="https://www.youtube.com/watch?v=c5D3zgpk1Ds" TargetMode="External"/><Relationship Id="rId269" Type="http://schemas.openxmlformats.org/officeDocument/2006/relationships/hyperlink" Target="https://youtu.be/Io6X82dUfeQ" TargetMode="External"/><Relationship Id="rId33" Type="http://schemas.openxmlformats.org/officeDocument/2006/relationships/hyperlink" Target="https://www.youtube.com/watch?v=HYIlAjpyd1c" TargetMode="External"/><Relationship Id="rId129" Type="http://schemas.openxmlformats.org/officeDocument/2006/relationships/hyperlink" Target="https://www.youtube.com/watch?v=7Bwwt36vxzY" TargetMode="External"/><Relationship Id="rId280" Type="http://schemas.openxmlformats.org/officeDocument/2006/relationships/hyperlink" Target="https://youtu.be/cBULTouDDtQ" TargetMode="External"/><Relationship Id="rId336" Type="http://schemas.openxmlformats.org/officeDocument/2006/relationships/hyperlink" Target="https://youtu.be/6B1Juwj6QHo" TargetMode="External"/><Relationship Id="rId75" Type="http://schemas.openxmlformats.org/officeDocument/2006/relationships/hyperlink" Target="https://youtu.be/BTQy2Omhav0" TargetMode="External"/><Relationship Id="rId140" Type="http://schemas.openxmlformats.org/officeDocument/2006/relationships/hyperlink" Target="https://youtu.be/FEYd092kelc" TargetMode="External"/><Relationship Id="rId182" Type="http://schemas.openxmlformats.org/officeDocument/2006/relationships/hyperlink" Target="https://youtu.be/MajTk0EjjS4" TargetMode="External"/><Relationship Id="rId378" Type="http://schemas.openxmlformats.org/officeDocument/2006/relationships/hyperlink" Target="https://youtu.be/an7DcMZ9QaI" TargetMode="External"/><Relationship Id="rId6" Type="http://schemas.openxmlformats.org/officeDocument/2006/relationships/hyperlink" Target="https://www.youtube.com/watch?v=2yX8IbkCcz4" TargetMode="External"/><Relationship Id="rId238" Type="http://schemas.openxmlformats.org/officeDocument/2006/relationships/hyperlink" Target="https://youtu.be/l1Ex2qIWGGg" TargetMode="External"/><Relationship Id="rId291" Type="http://schemas.openxmlformats.org/officeDocument/2006/relationships/hyperlink" Target="https://youtu.be/ouZE1fNcMF8" TargetMode="External"/><Relationship Id="rId305" Type="http://schemas.openxmlformats.org/officeDocument/2006/relationships/hyperlink" Target="https://youtu.be/qdoHYNES6tw" TargetMode="External"/><Relationship Id="rId347" Type="http://schemas.openxmlformats.org/officeDocument/2006/relationships/hyperlink" Target="https://youtu.be/D4NycnOjKnc" TargetMode="External"/><Relationship Id="rId44" Type="http://schemas.openxmlformats.org/officeDocument/2006/relationships/hyperlink" Target="https://www.youtube.com/watch?v=y7lYmuagU_Y" TargetMode="External"/><Relationship Id="rId86" Type="http://schemas.openxmlformats.org/officeDocument/2006/relationships/hyperlink" Target="https://youtu.be/GmDlBTKxBvE" TargetMode="External"/><Relationship Id="rId151" Type="http://schemas.openxmlformats.org/officeDocument/2006/relationships/hyperlink" Target="https://youtu.be/wGicJdb3s3I" TargetMode="External"/><Relationship Id="rId389" Type="http://schemas.openxmlformats.org/officeDocument/2006/relationships/hyperlink" Target="https://youtu.be/KXmRw3DgJNY" TargetMode="External"/><Relationship Id="rId193" Type="http://schemas.openxmlformats.org/officeDocument/2006/relationships/hyperlink" Target="https://youtu.be/i1O629hfUKA" TargetMode="External"/><Relationship Id="rId207" Type="http://schemas.openxmlformats.org/officeDocument/2006/relationships/hyperlink" Target="https://www.youtube.com/watch?v=ujy6_6Wrltk" TargetMode="External"/><Relationship Id="rId249" Type="http://schemas.openxmlformats.org/officeDocument/2006/relationships/hyperlink" Target="https://youtu.be/JSoRPEDwOp4" TargetMode="External"/><Relationship Id="rId13" Type="http://schemas.openxmlformats.org/officeDocument/2006/relationships/hyperlink" Target="https://www.youtube.com/watch?v=8NRy56xPXD4" TargetMode="External"/><Relationship Id="rId109" Type="http://schemas.openxmlformats.org/officeDocument/2006/relationships/hyperlink" Target="https://youtu.be/QoA6W_mXaA4" TargetMode="External"/><Relationship Id="rId260" Type="http://schemas.openxmlformats.org/officeDocument/2006/relationships/hyperlink" Target="https://youtu.be/NTf243Wl0hg" TargetMode="External"/><Relationship Id="rId316" Type="http://schemas.openxmlformats.org/officeDocument/2006/relationships/hyperlink" Target="https://youtu.be/7It5KB2VZZk" TargetMode="External"/><Relationship Id="rId55" Type="http://schemas.openxmlformats.org/officeDocument/2006/relationships/hyperlink" Target="https://youtu.be/IKat7bApM0Y" TargetMode="External"/><Relationship Id="rId97" Type="http://schemas.openxmlformats.org/officeDocument/2006/relationships/hyperlink" Target="https://www.youtube.com/watch?v=JZoEdHGRxEI" TargetMode="External"/><Relationship Id="rId120" Type="http://schemas.openxmlformats.org/officeDocument/2006/relationships/hyperlink" Target="https://youtu.be/r9WlBiDevLw" TargetMode="External"/><Relationship Id="rId358" Type="http://schemas.openxmlformats.org/officeDocument/2006/relationships/hyperlink" Target="https://youtu.be/KLgry9hkX1Y" TargetMode="External"/><Relationship Id="rId162" Type="http://schemas.openxmlformats.org/officeDocument/2006/relationships/hyperlink" Target="https://www.youtube.com/watch?v=aVS1gq0__Tw" TargetMode="External"/><Relationship Id="rId218" Type="http://schemas.openxmlformats.org/officeDocument/2006/relationships/hyperlink" Target="https://youtu.be/Qh0LsPGsXws" TargetMode="External"/><Relationship Id="rId271" Type="http://schemas.openxmlformats.org/officeDocument/2006/relationships/hyperlink" Target="https://youtu.be/HdBq4CMX_v4" TargetMode="External"/><Relationship Id="rId24" Type="http://schemas.openxmlformats.org/officeDocument/2006/relationships/hyperlink" Target="https://www.youtube.com/watch?v=DVd-lOqe37E" TargetMode="External"/><Relationship Id="rId66" Type="http://schemas.openxmlformats.org/officeDocument/2006/relationships/hyperlink" Target="https://youtu.be/RtCY5TdppHs" TargetMode="External"/><Relationship Id="rId131" Type="http://schemas.openxmlformats.org/officeDocument/2006/relationships/hyperlink" Target="https://youtu.be/2eiWELuQzY8" TargetMode="External"/><Relationship Id="rId327" Type="http://schemas.openxmlformats.org/officeDocument/2006/relationships/hyperlink" Target="https://youtu.be/exGncLfXq2I" TargetMode="External"/><Relationship Id="rId369" Type="http://schemas.openxmlformats.org/officeDocument/2006/relationships/hyperlink" Target="https://youtu.be/kC_aDzgoX9o" TargetMode="External"/><Relationship Id="rId173" Type="http://schemas.openxmlformats.org/officeDocument/2006/relationships/hyperlink" Target="https://youtu.be/OhFBxfqqL8A" TargetMode="External"/><Relationship Id="rId229" Type="http://schemas.openxmlformats.org/officeDocument/2006/relationships/hyperlink" Target="https://www.youtube.com/watch?v=LWgKSy1EO9I" TargetMode="External"/><Relationship Id="rId380" Type="http://schemas.openxmlformats.org/officeDocument/2006/relationships/hyperlink" Target="https://youtu.be/N-zhmxK9u8w" TargetMode="External"/><Relationship Id="rId240" Type="http://schemas.openxmlformats.org/officeDocument/2006/relationships/hyperlink" Target="https://youtu.be/sILaLUtGA6Q" TargetMode="External"/><Relationship Id="rId35" Type="http://schemas.openxmlformats.org/officeDocument/2006/relationships/hyperlink" Target="https://www.youtube.com/watch?v=dtQdDYwZbY8" TargetMode="External"/><Relationship Id="rId77" Type="http://schemas.openxmlformats.org/officeDocument/2006/relationships/hyperlink" Target="https://youtu.be/9RR-9xLxzo0" TargetMode="External"/><Relationship Id="rId100" Type="http://schemas.openxmlformats.org/officeDocument/2006/relationships/hyperlink" Target="https://youtu.be/brntJ6m0zoY" TargetMode="External"/><Relationship Id="rId282" Type="http://schemas.openxmlformats.org/officeDocument/2006/relationships/hyperlink" Target="https://youtu.be/fjldaYf1O8E" TargetMode="External"/><Relationship Id="rId338" Type="http://schemas.openxmlformats.org/officeDocument/2006/relationships/hyperlink" Target="https://youtu.be/P8B98C2rpIE" TargetMode="External"/><Relationship Id="rId8" Type="http://schemas.openxmlformats.org/officeDocument/2006/relationships/hyperlink" Target="https://www.youtube.com/watch?v=vKrs86GuHjs" TargetMode="External"/><Relationship Id="rId142" Type="http://schemas.openxmlformats.org/officeDocument/2006/relationships/hyperlink" Target="https://www.youtube.com/watch?v=kJClYvDRuJ8" TargetMode="External"/><Relationship Id="rId184" Type="http://schemas.openxmlformats.org/officeDocument/2006/relationships/hyperlink" Target="https://youtu.be/TzSUNdyUOUA" TargetMode="External"/><Relationship Id="rId391" Type="http://schemas.openxmlformats.org/officeDocument/2006/relationships/hyperlink" Target="https://youtu.be/jm3bA-lVP-k" TargetMode="External"/><Relationship Id="rId251" Type="http://schemas.openxmlformats.org/officeDocument/2006/relationships/hyperlink" Target="https://youtu.be/-KzkRe7z9aY" TargetMode="External"/><Relationship Id="rId46" Type="http://schemas.openxmlformats.org/officeDocument/2006/relationships/hyperlink" Target="https://www.youtube.com/watch?v=nonNLwGGVtM" TargetMode="External"/><Relationship Id="rId293" Type="http://schemas.openxmlformats.org/officeDocument/2006/relationships/hyperlink" Target="https://youtu.be/_BT9BDPODa0" TargetMode="External"/><Relationship Id="rId307" Type="http://schemas.openxmlformats.org/officeDocument/2006/relationships/hyperlink" Target="https://youtu.be/Y09Aah5xSrQ" TargetMode="External"/><Relationship Id="rId349" Type="http://schemas.openxmlformats.org/officeDocument/2006/relationships/hyperlink" Target="https://youtu.be/w_E0t9_OuHw" TargetMode="External"/><Relationship Id="rId88" Type="http://schemas.openxmlformats.org/officeDocument/2006/relationships/hyperlink" Target="https://www.youtube.com/watch?v=pARHgtHpCOw" TargetMode="External"/><Relationship Id="rId111" Type="http://schemas.openxmlformats.org/officeDocument/2006/relationships/hyperlink" Target="https://youtu.be/2M9vCuNu0UQ" TargetMode="External"/><Relationship Id="rId153" Type="http://schemas.openxmlformats.org/officeDocument/2006/relationships/hyperlink" Target="https://www.youtube.com/watch?v=ukNCYquGaXg" TargetMode="External"/><Relationship Id="rId195" Type="http://schemas.openxmlformats.org/officeDocument/2006/relationships/hyperlink" Target="https://youtu.be/Ka4eGBwrlMY" TargetMode="External"/><Relationship Id="rId209" Type="http://schemas.openxmlformats.org/officeDocument/2006/relationships/hyperlink" Target="https://www.youtube.com/watch?v=5g0dHNNCj_8" TargetMode="External"/><Relationship Id="rId360" Type="http://schemas.openxmlformats.org/officeDocument/2006/relationships/hyperlink" Target="https://youtu.be/5VWQ8BqjaPg" TargetMode="External"/><Relationship Id="rId220" Type="http://schemas.openxmlformats.org/officeDocument/2006/relationships/hyperlink" Target="https://www.youtube.com/watch?v=WMvnSd3164A" TargetMode="External"/><Relationship Id="rId15" Type="http://schemas.openxmlformats.org/officeDocument/2006/relationships/hyperlink" Target="https://www.youtube.com/watch?v=zdSOSGScWbs" TargetMode="External"/><Relationship Id="rId57" Type="http://schemas.openxmlformats.org/officeDocument/2006/relationships/hyperlink" Target="https://youtu.be/aCCXnI3HW9M" TargetMode="External"/><Relationship Id="rId262" Type="http://schemas.openxmlformats.org/officeDocument/2006/relationships/hyperlink" Target="https://youtu.be/1unbzW9pC94" TargetMode="External"/><Relationship Id="rId318" Type="http://schemas.openxmlformats.org/officeDocument/2006/relationships/hyperlink" Target="https://youtu.be/UUG58P8FLlo" TargetMode="External"/><Relationship Id="rId99" Type="http://schemas.openxmlformats.org/officeDocument/2006/relationships/hyperlink" Target="https://www.youtube.com/watch?v=cPvugjuJur4" TargetMode="External"/><Relationship Id="rId122" Type="http://schemas.openxmlformats.org/officeDocument/2006/relationships/hyperlink" Target="https://youtu.be/C9vRpVVMe5k" TargetMode="External"/><Relationship Id="rId164" Type="http://schemas.openxmlformats.org/officeDocument/2006/relationships/hyperlink" Target="https://www.youtube.com/watch?v=YU2AZRqm8X8" TargetMode="External"/><Relationship Id="rId371" Type="http://schemas.openxmlformats.org/officeDocument/2006/relationships/hyperlink" Target="https://youtu.be/d4MAvgW4KzA" TargetMode="External"/><Relationship Id="rId26" Type="http://schemas.openxmlformats.org/officeDocument/2006/relationships/hyperlink" Target="https://www.youtube.com/watch?v=zRu8rCbckzE" TargetMode="External"/><Relationship Id="rId231" Type="http://schemas.openxmlformats.org/officeDocument/2006/relationships/hyperlink" Target="https://youtu.be/glIorZ8mowc" TargetMode="External"/><Relationship Id="rId273" Type="http://schemas.openxmlformats.org/officeDocument/2006/relationships/hyperlink" Target="https://youtu.be/BjDhzmCjuHI" TargetMode="External"/><Relationship Id="rId329" Type="http://schemas.openxmlformats.org/officeDocument/2006/relationships/hyperlink" Target="https://youtu.be/dY7aBmbGlh0" TargetMode="External"/><Relationship Id="rId68" Type="http://schemas.openxmlformats.org/officeDocument/2006/relationships/hyperlink" Target="https://youtu.be/SDq6YbEEodk" TargetMode="External"/><Relationship Id="rId133" Type="http://schemas.openxmlformats.org/officeDocument/2006/relationships/hyperlink" Target="https://youtu.be/am8B_wCBzwA" TargetMode="External"/><Relationship Id="rId175" Type="http://schemas.openxmlformats.org/officeDocument/2006/relationships/hyperlink" Target="https://youtu.be/SqR30_FaCT4" TargetMode="External"/><Relationship Id="rId340" Type="http://schemas.openxmlformats.org/officeDocument/2006/relationships/hyperlink" Target="https://youtu.be/QCgLZcFgSDU" TargetMode="External"/><Relationship Id="rId200" Type="http://schemas.openxmlformats.org/officeDocument/2006/relationships/hyperlink" Target="https://youtu.be/29ZZrEIzlAE" TargetMode="External"/><Relationship Id="rId382" Type="http://schemas.openxmlformats.org/officeDocument/2006/relationships/hyperlink" Target="https://youtu.be/lrxzMVZ710E" TargetMode="External"/><Relationship Id="rId242" Type="http://schemas.openxmlformats.org/officeDocument/2006/relationships/hyperlink" Target="https://youtu.be/SQgSvvDhaRs" TargetMode="External"/><Relationship Id="rId284" Type="http://schemas.openxmlformats.org/officeDocument/2006/relationships/hyperlink" Target="https://youtu.be/hgCDYHGCd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T361"/>
  <sheetViews>
    <sheetView tabSelected="1" topLeftCell="A260" zoomScaleNormal="100" workbookViewId="0">
      <selection activeCell="P290" sqref="P290"/>
    </sheetView>
  </sheetViews>
  <sheetFormatPr defaultRowHeight="15"/>
  <cols>
    <col min="1" max="1" width="12.5703125" style="119" customWidth="1"/>
    <col min="2" max="2" width="24.28515625" style="16" customWidth="1"/>
    <col min="3" max="3" width="7.28515625" style="7" customWidth="1"/>
    <col min="4" max="4" width="7.140625" customWidth="1"/>
    <col min="5" max="5" width="9.42578125" style="7" customWidth="1"/>
    <col min="6" max="6" width="11.28515625" customWidth="1"/>
    <col min="7" max="7" width="12" style="16" hidden="1" customWidth="1"/>
    <col min="8" max="8" width="10.5703125" customWidth="1"/>
    <col min="9" max="9" width="8" style="137" customWidth="1"/>
    <col min="10" max="10" width="8.42578125" style="137" customWidth="1"/>
    <col min="11" max="12" width="8.7109375" customWidth="1"/>
    <col min="13" max="13" width="18" style="7" customWidth="1"/>
    <col min="14" max="15" width="7.7109375" style="92" customWidth="1"/>
    <col min="16" max="16" width="18.7109375" style="19" customWidth="1"/>
    <col min="17" max="18" width="9.140625" customWidth="1"/>
    <col min="19" max="19" width="11.140625" style="7" customWidth="1"/>
    <col min="20" max="20" width="15.42578125" style="137" customWidth="1"/>
  </cols>
  <sheetData>
    <row r="1" spans="1:20">
      <c r="A1" s="241" t="s">
        <v>664</v>
      </c>
      <c r="B1" s="242"/>
      <c r="C1" s="8"/>
      <c r="D1" s="1"/>
    </row>
    <row r="2" spans="1:20">
      <c r="A2" s="239"/>
      <c r="B2" s="240"/>
      <c r="C2" s="239"/>
      <c r="D2" s="239"/>
    </row>
    <row r="3" spans="1:20">
      <c r="A3" s="243" t="s">
        <v>665</v>
      </c>
      <c r="B3" s="244"/>
      <c r="C3" s="243"/>
      <c r="D3" s="1"/>
    </row>
    <row r="4" spans="1:20">
      <c r="A4" s="245" t="s">
        <v>64</v>
      </c>
      <c r="B4" s="246"/>
      <c r="C4" s="245"/>
      <c r="D4" s="1"/>
    </row>
    <row r="5" spans="1:20" ht="15.75" customHeight="1">
      <c r="A5" s="247" t="s">
        <v>65</v>
      </c>
      <c r="B5" s="248"/>
      <c r="C5" s="247"/>
      <c r="D5" s="1"/>
      <c r="E5" s="10"/>
      <c r="F5" s="9"/>
    </row>
    <row r="6" spans="1:20" ht="27" customHeight="1">
      <c r="A6" s="17" t="s">
        <v>869</v>
      </c>
      <c r="B6" s="150"/>
      <c r="C6" s="13"/>
      <c r="D6" s="1"/>
      <c r="E6" s="10"/>
      <c r="F6" s="9"/>
    </row>
    <row r="7" spans="1:20">
      <c r="A7" s="17"/>
      <c r="B7" s="150"/>
      <c r="C7" s="13"/>
      <c r="D7" s="1"/>
      <c r="E7" s="10"/>
      <c r="F7" s="9"/>
    </row>
    <row r="8" spans="1:20">
      <c r="A8" s="17"/>
      <c r="B8" s="150"/>
      <c r="C8" s="13"/>
      <c r="D8" s="1"/>
      <c r="E8" s="10"/>
      <c r="F8" s="9"/>
    </row>
    <row r="9" spans="1:20" ht="15.75">
      <c r="A9" s="17"/>
      <c r="B9" s="150"/>
      <c r="C9" s="13"/>
      <c r="D9" s="1"/>
      <c r="E9" s="10"/>
      <c r="F9" s="9"/>
      <c r="Q9" s="238" t="s">
        <v>788</v>
      </c>
      <c r="R9" s="238"/>
      <c r="S9" s="131" t="s">
        <v>789</v>
      </c>
      <c r="T9" s="128"/>
    </row>
    <row r="10" spans="1:20" ht="27">
      <c r="A10" s="127" t="s">
        <v>669</v>
      </c>
      <c r="B10" s="151"/>
      <c r="C10" s="120"/>
      <c r="D10" s="120"/>
      <c r="E10" s="120"/>
      <c r="F10" s="12"/>
      <c r="G10" s="233"/>
      <c r="H10" s="5"/>
      <c r="I10" s="170"/>
      <c r="J10" s="170"/>
      <c r="K10" s="5"/>
      <c r="L10" s="5"/>
      <c r="M10" s="6"/>
      <c r="N10" s="93"/>
      <c r="O10" s="93"/>
      <c r="P10" s="20"/>
      <c r="Q10" s="236">
        <v>0</v>
      </c>
      <c r="R10" s="236"/>
      <c r="S10" s="132" t="s">
        <v>794</v>
      </c>
      <c r="T10" s="237" t="s">
        <v>790</v>
      </c>
    </row>
    <row r="11" spans="1:20" ht="51">
      <c r="A11" s="116" t="s">
        <v>0</v>
      </c>
      <c r="B11" s="15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234"/>
      <c r="H11" s="4" t="s">
        <v>560</v>
      </c>
      <c r="I11" s="86" t="s">
        <v>837</v>
      </c>
      <c r="J11" s="86" t="s">
        <v>838</v>
      </c>
      <c r="K11" s="3" t="s">
        <v>840</v>
      </c>
      <c r="L11" s="3" t="s">
        <v>841</v>
      </c>
      <c r="M11" s="3" t="s">
        <v>7</v>
      </c>
      <c r="N11" s="3" t="s">
        <v>562</v>
      </c>
      <c r="O11" s="3" t="s">
        <v>845</v>
      </c>
      <c r="P11" s="21" t="s">
        <v>8</v>
      </c>
      <c r="Q11" s="129" t="s">
        <v>792</v>
      </c>
      <c r="R11" s="129" t="s">
        <v>791</v>
      </c>
      <c r="S11" s="130" t="s">
        <v>793</v>
      </c>
      <c r="T11" s="237"/>
    </row>
    <row r="12" spans="1:20" ht="15" customHeight="1">
      <c r="A12" s="121" t="s">
        <v>590</v>
      </c>
      <c r="B12" s="153"/>
      <c r="C12" s="143"/>
      <c r="D12" s="143"/>
      <c r="E12" s="143"/>
      <c r="F12" s="143"/>
      <c r="G12" s="153"/>
      <c r="H12" s="143"/>
      <c r="I12" s="166"/>
      <c r="J12" s="166"/>
      <c r="K12" s="143"/>
      <c r="L12" s="143"/>
      <c r="M12" s="143"/>
      <c r="N12" s="143"/>
      <c r="O12" s="143"/>
      <c r="P12" s="171"/>
    </row>
    <row r="13" spans="1:20" ht="21">
      <c r="A13" s="53" t="s">
        <v>123</v>
      </c>
      <c r="B13" s="26" t="s">
        <v>595</v>
      </c>
      <c r="C13" s="25">
        <v>7</v>
      </c>
      <c r="D13" s="25">
        <v>0.8</v>
      </c>
      <c r="E13" s="25">
        <v>32</v>
      </c>
      <c r="F13" s="27">
        <f t="shared" ref="F13:F44" si="0">H13*E13</f>
        <v>17920</v>
      </c>
      <c r="G13" s="57">
        <v>420</v>
      </c>
      <c r="H13" s="57">
        <f>G13/75*100</f>
        <v>560</v>
      </c>
      <c r="I13" s="167">
        <v>3.4000000000000002E-2</v>
      </c>
      <c r="J13" s="168">
        <v>12.1</v>
      </c>
      <c r="K13" s="162">
        <f>I13*S13</f>
        <v>0</v>
      </c>
      <c r="L13" s="162">
        <f>J13*S13</f>
        <v>0</v>
      </c>
      <c r="M13" s="33"/>
      <c r="N13" s="29" t="s">
        <v>562</v>
      </c>
      <c r="O13" s="126" t="s">
        <v>845</v>
      </c>
      <c r="P13" s="235" t="s">
        <v>864</v>
      </c>
      <c r="Q13" s="146">
        <f>F13*(1-$Q$10)</f>
        <v>17920</v>
      </c>
      <c r="R13" s="146">
        <f>H13*(1-$Q$10)</f>
        <v>560</v>
      </c>
      <c r="S13" s="134"/>
      <c r="T13" s="138">
        <f>S13*Q13</f>
        <v>0</v>
      </c>
    </row>
    <row r="14" spans="1:20" ht="21">
      <c r="A14" s="53" t="s">
        <v>796</v>
      </c>
      <c r="B14" s="67" t="s">
        <v>797</v>
      </c>
      <c r="C14" s="25">
        <v>8</v>
      </c>
      <c r="D14" s="25">
        <v>0.8</v>
      </c>
      <c r="E14" s="25">
        <v>32</v>
      </c>
      <c r="F14" s="27">
        <f t="shared" si="0"/>
        <v>19520</v>
      </c>
      <c r="G14" s="57">
        <v>457</v>
      </c>
      <c r="H14" s="57">
        <v>610</v>
      </c>
      <c r="I14" s="167">
        <v>3.5999999999999997E-2</v>
      </c>
      <c r="J14" s="168">
        <v>14.2</v>
      </c>
      <c r="K14" s="162">
        <f>I14*S14</f>
        <v>0</v>
      </c>
      <c r="L14" s="162">
        <f>J14*S14</f>
        <v>0</v>
      </c>
      <c r="M14" s="33"/>
      <c r="N14" s="29" t="s">
        <v>562</v>
      </c>
      <c r="O14" s="126" t="s">
        <v>845</v>
      </c>
      <c r="P14" s="235" t="s">
        <v>864</v>
      </c>
      <c r="Q14" s="146">
        <f t="shared" ref="Q14:Q77" si="1">F14*(1-$Q$10)</f>
        <v>19520</v>
      </c>
      <c r="R14" s="146">
        <f t="shared" ref="R14:R77" si="2">H14*(1-$Q$10)</f>
        <v>610</v>
      </c>
      <c r="S14" s="134"/>
      <c r="T14" s="138">
        <f t="shared" ref="T14:T77" si="3">S14*Q14</f>
        <v>0</v>
      </c>
    </row>
    <row r="15" spans="1:20" ht="21">
      <c r="A15" s="53" t="s">
        <v>9</v>
      </c>
      <c r="B15" s="26" t="s">
        <v>10</v>
      </c>
      <c r="C15" s="25">
        <v>9</v>
      </c>
      <c r="D15" s="25">
        <v>0.8</v>
      </c>
      <c r="E15" s="25">
        <v>40</v>
      </c>
      <c r="F15" s="27">
        <f t="shared" si="0"/>
        <v>28533.333333333336</v>
      </c>
      <c r="G15" s="57">
        <v>535</v>
      </c>
      <c r="H15" s="57">
        <f t="shared" ref="H15:H76" si="4">G15/75*100</f>
        <v>713.33333333333337</v>
      </c>
      <c r="I15" s="167">
        <v>5.2999999999999999E-2</v>
      </c>
      <c r="J15" s="168">
        <v>21</v>
      </c>
      <c r="K15" s="162">
        <f t="shared" ref="K15:K78" si="5">I15*S15</f>
        <v>0</v>
      </c>
      <c r="L15" s="162">
        <f t="shared" ref="L15:L78" si="6">J15*S15</f>
        <v>0</v>
      </c>
      <c r="M15" s="101"/>
      <c r="N15" s="29" t="s">
        <v>562</v>
      </c>
      <c r="O15" s="126" t="s">
        <v>845</v>
      </c>
      <c r="P15" s="235" t="s">
        <v>864</v>
      </c>
      <c r="Q15" s="146">
        <f t="shared" si="1"/>
        <v>28533.333333333336</v>
      </c>
      <c r="R15" s="146">
        <f t="shared" si="2"/>
        <v>713.33333333333337</v>
      </c>
      <c r="S15" s="134"/>
      <c r="T15" s="138">
        <f t="shared" si="3"/>
        <v>0</v>
      </c>
    </row>
    <row r="16" spans="1:20" ht="21">
      <c r="A16" s="53" t="s">
        <v>568</v>
      </c>
      <c r="B16" s="26" t="s">
        <v>596</v>
      </c>
      <c r="C16" s="25">
        <v>10</v>
      </c>
      <c r="D16" s="25">
        <v>0.8</v>
      </c>
      <c r="E16" s="25">
        <v>18</v>
      </c>
      <c r="F16" s="27">
        <f t="shared" si="0"/>
        <v>13680</v>
      </c>
      <c r="G16" s="57">
        <v>570</v>
      </c>
      <c r="H16" s="57">
        <v>760</v>
      </c>
      <c r="I16" s="167">
        <v>2.8000000000000001E-2</v>
      </c>
      <c r="J16" s="168">
        <v>11.8</v>
      </c>
      <c r="K16" s="162">
        <f t="shared" si="5"/>
        <v>0</v>
      </c>
      <c r="L16" s="162">
        <f t="shared" si="6"/>
        <v>0</v>
      </c>
      <c r="M16" s="101"/>
      <c r="N16" s="29" t="s">
        <v>562</v>
      </c>
      <c r="O16" s="126" t="s">
        <v>845</v>
      </c>
      <c r="P16" s="235" t="s">
        <v>864</v>
      </c>
      <c r="Q16" s="146">
        <f t="shared" si="1"/>
        <v>13680</v>
      </c>
      <c r="R16" s="146">
        <f t="shared" si="2"/>
        <v>760</v>
      </c>
      <c r="S16" s="134"/>
      <c r="T16" s="138">
        <f t="shared" si="3"/>
        <v>0</v>
      </c>
    </row>
    <row r="17" spans="1:20" ht="21">
      <c r="A17" s="53" t="s">
        <v>798</v>
      </c>
      <c r="B17" s="54" t="s">
        <v>799</v>
      </c>
      <c r="C17" s="25">
        <v>12</v>
      </c>
      <c r="D17" s="25">
        <v>0.8</v>
      </c>
      <c r="E17" s="25">
        <v>24</v>
      </c>
      <c r="F17" s="27">
        <f t="shared" si="0"/>
        <v>21600</v>
      </c>
      <c r="G17" s="57">
        <v>675</v>
      </c>
      <c r="H17" s="57">
        <f t="shared" si="4"/>
        <v>900</v>
      </c>
      <c r="I17" s="167">
        <v>5.1999999999999998E-2</v>
      </c>
      <c r="J17" s="168">
        <v>18.5</v>
      </c>
      <c r="K17" s="162">
        <f t="shared" si="5"/>
        <v>0</v>
      </c>
      <c r="L17" s="162">
        <f t="shared" si="6"/>
        <v>0</v>
      </c>
      <c r="M17" s="101"/>
      <c r="N17" s="29" t="s">
        <v>562</v>
      </c>
      <c r="O17" s="126" t="s">
        <v>845</v>
      </c>
      <c r="P17" s="235" t="s">
        <v>864</v>
      </c>
      <c r="Q17" s="146">
        <f>F17*(1-$Q$10)</f>
        <v>21600</v>
      </c>
      <c r="R17" s="146">
        <f t="shared" si="2"/>
        <v>900</v>
      </c>
      <c r="S17" s="134"/>
      <c r="T17" s="138">
        <f>S17*Q17</f>
        <v>0</v>
      </c>
    </row>
    <row r="18" spans="1:20">
      <c r="A18" s="53" t="s">
        <v>11</v>
      </c>
      <c r="B18" s="26" t="s">
        <v>12</v>
      </c>
      <c r="C18" s="25">
        <v>16</v>
      </c>
      <c r="D18" s="25">
        <v>0.8</v>
      </c>
      <c r="E18" s="25">
        <v>32</v>
      </c>
      <c r="F18" s="27">
        <f t="shared" si="0"/>
        <v>31680</v>
      </c>
      <c r="G18" s="57">
        <v>840</v>
      </c>
      <c r="H18" s="57">
        <v>990</v>
      </c>
      <c r="I18" s="167">
        <v>4.7E-2</v>
      </c>
      <c r="J18" s="168">
        <v>23.5</v>
      </c>
      <c r="K18" s="162">
        <f t="shared" si="5"/>
        <v>0</v>
      </c>
      <c r="L18" s="162">
        <f t="shared" si="6"/>
        <v>0</v>
      </c>
      <c r="M18" s="101"/>
      <c r="N18" s="29" t="s">
        <v>562</v>
      </c>
      <c r="O18" s="29"/>
      <c r="P18" s="235" t="s">
        <v>864</v>
      </c>
      <c r="Q18" s="146">
        <f t="shared" si="1"/>
        <v>31680</v>
      </c>
      <c r="R18" s="146">
        <f t="shared" si="2"/>
        <v>990</v>
      </c>
      <c r="S18" s="134"/>
      <c r="T18" s="138">
        <f t="shared" si="3"/>
        <v>0</v>
      </c>
    </row>
    <row r="19" spans="1:20">
      <c r="A19" s="53" t="s">
        <v>569</v>
      </c>
      <c r="B19" s="26" t="s">
        <v>597</v>
      </c>
      <c r="C19" s="25">
        <v>19</v>
      </c>
      <c r="D19" s="25">
        <v>0.8</v>
      </c>
      <c r="E19" s="25">
        <v>16</v>
      </c>
      <c r="F19" s="27">
        <f t="shared" si="0"/>
        <v>23040</v>
      </c>
      <c r="G19" s="57">
        <v>1080</v>
      </c>
      <c r="H19" s="57">
        <f t="shared" si="4"/>
        <v>1440</v>
      </c>
      <c r="I19" s="167">
        <v>3.3000000000000002E-2</v>
      </c>
      <c r="J19" s="168">
        <v>13</v>
      </c>
      <c r="K19" s="162">
        <f t="shared" si="5"/>
        <v>0</v>
      </c>
      <c r="L19" s="162">
        <f t="shared" si="6"/>
        <v>0</v>
      </c>
      <c r="M19" s="101"/>
      <c r="N19" s="29" t="s">
        <v>562</v>
      </c>
      <c r="O19" s="29"/>
      <c r="P19" s="235" t="s">
        <v>864</v>
      </c>
      <c r="Q19" s="146">
        <f t="shared" si="1"/>
        <v>23040</v>
      </c>
      <c r="R19" s="146">
        <f t="shared" si="2"/>
        <v>1440</v>
      </c>
      <c r="S19" s="134"/>
      <c r="T19" s="138">
        <f t="shared" si="3"/>
        <v>0</v>
      </c>
    </row>
    <row r="20" spans="1:20">
      <c r="A20" s="53" t="s">
        <v>13</v>
      </c>
      <c r="B20" s="26" t="s">
        <v>14</v>
      </c>
      <c r="C20" s="25">
        <v>25</v>
      </c>
      <c r="D20" s="25">
        <v>0.8</v>
      </c>
      <c r="E20" s="25">
        <v>18</v>
      </c>
      <c r="F20" s="27">
        <f t="shared" si="0"/>
        <v>27900</v>
      </c>
      <c r="G20" s="57">
        <v>1410</v>
      </c>
      <c r="H20" s="57">
        <v>1550</v>
      </c>
      <c r="I20" s="167">
        <v>4.1000000000000002E-2</v>
      </c>
      <c r="J20" s="168">
        <v>20.3</v>
      </c>
      <c r="K20" s="162">
        <f t="shared" si="5"/>
        <v>0</v>
      </c>
      <c r="L20" s="162">
        <f t="shared" si="6"/>
        <v>0</v>
      </c>
      <c r="M20" s="103"/>
      <c r="N20" s="29" t="s">
        <v>562</v>
      </c>
      <c r="O20" s="29"/>
      <c r="P20" s="235" t="s">
        <v>864</v>
      </c>
      <c r="Q20" s="146">
        <f t="shared" si="1"/>
        <v>27900</v>
      </c>
      <c r="R20" s="146">
        <f t="shared" si="2"/>
        <v>1550</v>
      </c>
      <c r="S20" s="134"/>
      <c r="T20" s="138">
        <f t="shared" si="3"/>
        <v>0</v>
      </c>
    </row>
    <row r="21" spans="1:20" ht="25.5">
      <c r="A21" s="53" t="s">
        <v>570</v>
      </c>
      <c r="B21" s="26" t="s">
        <v>598</v>
      </c>
      <c r="C21" s="25">
        <v>25</v>
      </c>
      <c r="D21" s="25">
        <v>0.8</v>
      </c>
      <c r="E21" s="25">
        <v>16</v>
      </c>
      <c r="F21" s="27">
        <f t="shared" si="0"/>
        <v>29653.333333333336</v>
      </c>
      <c r="G21" s="57">
        <v>1390</v>
      </c>
      <c r="H21" s="57">
        <f t="shared" si="4"/>
        <v>1853.3333333333335</v>
      </c>
      <c r="I21" s="167">
        <v>3.6999999999999998E-2</v>
      </c>
      <c r="J21" s="168">
        <v>16.5</v>
      </c>
      <c r="K21" s="162">
        <f t="shared" si="5"/>
        <v>0</v>
      </c>
      <c r="L21" s="162">
        <f t="shared" si="6"/>
        <v>0</v>
      </c>
      <c r="M21" s="103"/>
      <c r="N21" s="29" t="s">
        <v>562</v>
      </c>
      <c r="O21" s="29"/>
      <c r="P21" s="232" t="s">
        <v>865</v>
      </c>
      <c r="Q21" s="146">
        <f t="shared" si="1"/>
        <v>29653.333333333336</v>
      </c>
      <c r="R21" s="146">
        <f t="shared" si="2"/>
        <v>1853.3333333333335</v>
      </c>
      <c r="S21" s="134"/>
      <c r="T21" s="138">
        <f t="shared" si="3"/>
        <v>0</v>
      </c>
    </row>
    <row r="22" spans="1:20">
      <c r="A22" s="53" t="s">
        <v>15</v>
      </c>
      <c r="B22" s="26" t="s">
        <v>556</v>
      </c>
      <c r="C22" s="25">
        <v>30</v>
      </c>
      <c r="D22" s="25">
        <v>0.8</v>
      </c>
      <c r="E22" s="25">
        <v>18</v>
      </c>
      <c r="F22" s="27">
        <f t="shared" si="0"/>
        <v>35820</v>
      </c>
      <c r="G22" s="57">
        <v>1590</v>
      </c>
      <c r="H22" s="57">
        <v>1990</v>
      </c>
      <c r="I22" s="167">
        <v>5.8000000000000003E-2</v>
      </c>
      <c r="J22" s="168">
        <v>25.7</v>
      </c>
      <c r="K22" s="162">
        <f t="shared" si="5"/>
        <v>0</v>
      </c>
      <c r="L22" s="162">
        <f t="shared" si="6"/>
        <v>0</v>
      </c>
      <c r="M22" s="103"/>
      <c r="N22" s="29" t="s">
        <v>562</v>
      </c>
      <c r="O22" s="29"/>
      <c r="P22" s="235" t="s">
        <v>864</v>
      </c>
      <c r="Q22" s="146">
        <f t="shared" si="1"/>
        <v>35820</v>
      </c>
      <c r="R22" s="146">
        <f t="shared" si="2"/>
        <v>1990</v>
      </c>
      <c r="S22" s="134"/>
      <c r="T22" s="138">
        <f t="shared" si="3"/>
        <v>0</v>
      </c>
    </row>
    <row r="23" spans="1:20">
      <c r="A23" s="53" t="s">
        <v>16</v>
      </c>
      <c r="B23" s="26" t="s">
        <v>17</v>
      </c>
      <c r="C23" s="25">
        <v>36</v>
      </c>
      <c r="D23" s="25">
        <v>0.8</v>
      </c>
      <c r="E23" s="25">
        <v>12</v>
      </c>
      <c r="F23" s="27">
        <f t="shared" si="0"/>
        <v>31920</v>
      </c>
      <c r="G23" s="57">
        <v>1995</v>
      </c>
      <c r="H23" s="57">
        <f t="shared" si="4"/>
        <v>2660</v>
      </c>
      <c r="I23" s="167">
        <v>3.7999999999999999E-2</v>
      </c>
      <c r="J23" s="168">
        <v>18.3</v>
      </c>
      <c r="K23" s="162">
        <f t="shared" si="5"/>
        <v>0</v>
      </c>
      <c r="L23" s="162">
        <f t="shared" si="6"/>
        <v>0</v>
      </c>
      <c r="M23" s="103"/>
      <c r="N23" s="29" t="s">
        <v>562</v>
      </c>
      <c r="O23" s="29"/>
      <c r="P23" s="235" t="s">
        <v>864</v>
      </c>
      <c r="Q23" s="146">
        <f t="shared" si="1"/>
        <v>31920</v>
      </c>
      <c r="R23" s="146">
        <f t="shared" si="2"/>
        <v>2660</v>
      </c>
      <c r="S23" s="134"/>
      <c r="T23" s="138">
        <f t="shared" si="3"/>
        <v>0</v>
      </c>
    </row>
    <row r="24" spans="1:20" ht="21">
      <c r="A24" s="53" t="s">
        <v>627</v>
      </c>
      <c r="B24" s="67" t="s">
        <v>675</v>
      </c>
      <c r="C24" s="25">
        <v>36</v>
      </c>
      <c r="D24" s="25">
        <v>0.8</v>
      </c>
      <c r="E24" s="25">
        <v>12</v>
      </c>
      <c r="F24" s="27">
        <f t="shared" si="0"/>
        <v>31920</v>
      </c>
      <c r="G24" s="109">
        <v>1995</v>
      </c>
      <c r="H24" s="57">
        <f t="shared" si="4"/>
        <v>2660</v>
      </c>
      <c r="I24" s="167">
        <v>5.0999999999999997E-2</v>
      </c>
      <c r="J24" s="168">
        <v>20.5</v>
      </c>
      <c r="K24" s="162">
        <f t="shared" si="5"/>
        <v>0</v>
      </c>
      <c r="L24" s="162">
        <f t="shared" si="6"/>
        <v>0</v>
      </c>
      <c r="M24" s="103"/>
      <c r="N24" s="29" t="s">
        <v>562</v>
      </c>
      <c r="O24" s="126" t="s">
        <v>845</v>
      </c>
      <c r="P24" s="235" t="s">
        <v>864</v>
      </c>
      <c r="Q24" s="146">
        <f t="shared" si="1"/>
        <v>31920</v>
      </c>
      <c r="R24" s="146">
        <f t="shared" si="2"/>
        <v>2660</v>
      </c>
      <c r="S24" s="134"/>
      <c r="T24" s="138">
        <f t="shared" si="3"/>
        <v>0</v>
      </c>
    </row>
    <row r="25" spans="1:20">
      <c r="A25" s="53" t="s">
        <v>18</v>
      </c>
      <c r="B25" s="26" t="s">
        <v>19</v>
      </c>
      <c r="C25" s="25">
        <v>49</v>
      </c>
      <c r="D25" s="25">
        <v>0.8</v>
      </c>
      <c r="E25" s="25">
        <v>8</v>
      </c>
      <c r="F25" s="27">
        <f t="shared" si="0"/>
        <v>27600</v>
      </c>
      <c r="G25" s="57">
        <v>2770</v>
      </c>
      <c r="H25" s="57">
        <v>3450</v>
      </c>
      <c r="I25" s="167">
        <v>4.7E-2</v>
      </c>
      <c r="J25" s="168">
        <v>19.2</v>
      </c>
      <c r="K25" s="162">
        <f t="shared" si="5"/>
        <v>0</v>
      </c>
      <c r="L25" s="162">
        <f t="shared" si="6"/>
        <v>0</v>
      </c>
      <c r="M25" s="96" t="s">
        <v>20</v>
      </c>
      <c r="N25" s="29" t="s">
        <v>562</v>
      </c>
      <c r="O25" s="29"/>
      <c r="P25" s="235" t="s">
        <v>864</v>
      </c>
      <c r="Q25" s="146">
        <f t="shared" si="1"/>
        <v>27600</v>
      </c>
      <c r="R25" s="146">
        <f t="shared" si="2"/>
        <v>3450</v>
      </c>
      <c r="S25" s="134"/>
      <c r="T25" s="138">
        <f t="shared" si="3"/>
        <v>0</v>
      </c>
    </row>
    <row r="26" spans="1:20">
      <c r="A26" s="53" t="s">
        <v>571</v>
      </c>
      <c r="B26" s="26" t="s">
        <v>599</v>
      </c>
      <c r="C26" s="25">
        <v>49</v>
      </c>
      <c r="D26" s="25">
        <v>0.8</v>
      </c>
      <c r="E26" s="25">
        <v>12</v>
      </c>
      <c r="F26" s="27">
        <f t="shared" si="0"/>
        <v>41400</v>
      </c>
      <c r="G26" s="57">
        <v>2710</v>
      </c>
      <c r="H26" s="57">
        <v>3450</v>
      </c>
      <c r="I26" s="25">
        <v>6.5000000000000002E-2</v>
      </c>
      <c r="J26" s="25">
        <v>27.2</v>
      </c>
      <c r="K26" s="162">
        <f t="shared" si="5"/>
        <v>0</v>
      </c>
      <c r="L26" s="162">
        <f t="shared" si="6"/>
        <v>0</v>
      </c>
      <c r="M26" s="96"/>
      <c r="N26" s="29" t="s">
        <v>562</v>
      </c>
      <c r="O26" s="29"/>
      <c r="P26" s="235" t="s">
        <v>864</v>
      </c>
      <c r="Q26" s="146">
        <f t="shared" si="1"/>
        <v>41400</v>
      </c>
      <c r="R26" s="146">
        <f t="shared" si="2"/>
        <v>3450</v>
      </c>
      <c r="S26" s="134"/>
      <c r="T26" s="138">
        <f t="shared" si="3"/>
        <v>0</v>
      </c>
    </row>
    <row r="27" spans="1:20" ht="25.5">
      <c r="A27" s="53" t="s">
        <v>21</v>
      </c>
      <c r="B27" s="26" t="s">
        <v>22</v>
      </c>
      <c r="C27" s="25">
        <v>64</v>
      </c>
      <c r="D27" s="25">
        <v>0.8</v>
      </c>
      <c r="E27" s="25">
        <v>6</v>
      </c>
      <c r="F27" s="27">
        <f t="shared" si="0"/>
        <v>30920</v>
      </c>
      <c r="G27" s="57">
        <v>3865</v>
      </c>
      <c r="H27" s="57">
        <f t="shared" si="4"/>
        <v>5153.333333333333</v>
      </c>
      <c r="I27" s="167">
        <v>4.3999999999999997E-2</v>
      </c>
      <c r="J27" s="168">
        <v>18.8</v>
      </c>
      <c r="K27" s="162">
        <f t="shared" si="5"/>
        <v>0</v>
      </c>
      <c r="L27" s="162">
        <f t="shared" si="6"/>
        <v>0</v>
      </c>
      <c r="M27" s="25" t="s">
        <v>20</v>
      </c>
      <c r="N27" s="29" t="s">
        <v>562</v>
      </c>
      <c r="O27" s="29"/>
      <c r="P27" s="232" t="s">
        <v>865</v>
      </c>
      <c r="Q27" s="146">
        <f t="shared" si="1"/>
        <v>30920</v>
      </c>
      <c r="R27" s="146">
        <f t="shared" si="2"/>
        <v>5153.333333333333</v>
      </c>
      <c r="S27" s="134"/>
      <c r="T27" s="138">
        <f t="shared" si="3"/>
        <v>0</v>
      </c>
    </row>
    <row r="28" spans="1:20" ht="25.5">
      <c r="A28" s="53" t="s">
        <v>572</v>
      </c>
      <c r="B28" s="26" t="s">
        <v>600</v>
      </c>
      <c r="C28" s="25">
        <v>100</v>
      </c>
      <c r="D28" s="25">
        <v>0.8</v>
      </c>
      <c r="E28" s="25">
        <v>4</v>
      </c>
      <c r="F28" s="27">
        <f t="shared" si="0"/>
        <v>27960</v>
      </c>
      <c r="G28" s="57">
        <v>5990</v>
      </c>
      <c r="H28" s="57">
        <v>6990</v>
      </c>
      <c r="I28" s="25">
        <v>5.2999999999999999E-2</v>
      </c>
      <c r="J28" s="25">
        <v>19</v>
      </c>
      <c r="K28" s="162">
        <f t="shared" si="5"/>
        <v>0</v>
      </c>
      <c r="L28" s="162">
        <f t="shared" si="6"/>
        <v>0</v>
      </c>
      <c r="M28" s="95"/>
      <c r="N28" s="29" t="s">
        <v>562</v>
      </c>
      <c r="O28" s="29"/>
      <c r="P28" s="232" t="s">
        <v>865</v>
      </c>
      <c r="Q28" s="146">
        <f t="shared" si="1"/>
        <v>27960</v>
      </c>
      <c r="R28" s="146">
        <f t="shared" si="2"/>
        <v>6990</v>
      </c>
      <c r="S28" s="134"/>
      <c r="T28" s="138">
        <f t="shared" si="3"/>
        <v>0</v>
      </c>
    </row>
    <row r="29" spans="1:20" ht="25.5">
      <c r="A29" s="53" t="s">
        <v>23</v>
      </c>
      <c r="B29" s="26" t="s">
        <v>24</v>
      </c>
      <c r="C29" s="25">
        <v>100</v>
      </c>
      <c r="D29" s="25">
        <v>0.8</v>
      </c>
      <c r="E29" s="25">
        <v>4</v>
      </c>
      <c r="F29" s="27">
        <f t="shared" si="0"/>
        <v>32373.333333333336</v>
      </c>
      <c r="G29" s="57">
        <v>6070</v>
      </c>
      <c r="H29" s="57">
        <f t="shared" si="4"/>
        <v>8093.3333333333339</v>
      </c>
      <c r="I29" s="167">
        <v>5.5E-2</v>
      </c>
      <c r="J29" s="168">
        <v>20.399999999999999</v>
      </c>
      <c r="K29" s="162">
        <f t="shared" si="5"/>
        <v>0</v>
      </c>
      <c r="L29" s="162">
        <f t="shared" si="6"/>
        <v>0</v>
      </c>
      <c r="M29" s="25" t="s">
        <v>20</v>
      </c>
      <c r="N29" s="29" t="s">
        <v>562</v>
      </c>
      <c r="O29" s="126" t="s">
        <v>845</v>
      </c>
      <c r="P29" s="232" t="s">
        <v>865</v>
      </c>
      <c r="Q29" s="146">
        <f t="shared" si="1"/>
        <v>32373.333333333336</v>
      </c>
      <c r="R29" s="146">
        <f t="shared" si="2"/>
        <v>8093.3333333333339</v>
      </c>
      <c r="S29" s="134"/>
      <c r="T29" s="138">
        <f t="shared" si="3"/>
        <v>0</v>
      </c>
    </row>
    <row r="30" spans="1:20">
      <c r="A30" s="53" t="s">
        <v>573</v>
      </c>
      <c r="B30" s="26" t="s">
        <v>601</v>
      </c>
      <c r="C30" s="25">
        <v>150</v>
      </c>
      <c r="D30" s="25">
        <v>0.8</v>
      </c>
      <c r="E30" s="25">
        <v>2</v>
      </c>
      <c r="F30" s="27">
        <f t="shared" si="0"/>
        <v>23040</v>
      </c>
      <c r="G30" s="57">
        <v>8640</v>
      </c>
      <c r="H30" s="57">
        <f t="shared" si="4"/>
        <v>11520</v>
      </c>
      <c r="I30" s="167">
        <v>3.9E-2</v>
      </c>
      <c r="J30" s="168">
        <v>15</v>
      </c>
      <c r="K30" s="162">
        <f t="shared" si="5"/>
        <v>0</v>
      </c>
      <c r="L30" s="162">
        <f t="shared" si="6"/>
        <v>0</v>
      </c>
      <c r="M30" s="95"/>
      <c r="N30" s="29" t="s">
        <v>562</v>
      </c>
      <c r="O30" s="29"/>
      <c r="P30" s="235" t="s">
        <v>864</v>
      </c>
      <c r="Q30" s="146">
        <f t="shared" si="1"/>
        <v>23040</v>
      </c>
      <c r="R30" s="146">
        <f t="shared" si="2"/>
        <v>11520</v>
      </c>
      <c r="S30" s="134"/>
      <c r="T30" s="138">
        <f t="shared" si="3"/>
        <v>0</v>
      </c>
    </row>
    <row r="31" spans="1:20" ht="25.5">
      <c r="A31" s="53" t="s">
        <v>628</v>
      </c>
      <c r="B31" s="54" t="s">
        <v>760</v>
      </c>
      <c r="C31" s="25">
        <v>300</v>
      </c>
      <c r="D31" s="112">
        <v>0.8</v>
      </c>
      <c r="E31" s="25">
        <v>1</v>
      </c>
      <c r="F31" s="27">
        <f t="shared" si="0"/>
        <v>19780</v>
      </c>
      <c r="G31" s="57">
        <v>17750</v>
      </c>
      <c r="H31" s="57">
        <v>19780</v>
      </c>
      <c r="I31" s="25">
        <v>3.5999999999999997E-2</v>
      </c>
      <c r="J31" s="25">
        <v>12.8</v>
      </c>
      <c r="K31" s="162">
        <f t="shared" si="5"/>
        <v>0</v>
      </c>
      <c r="L31" s="162">
        <f t="shared" si="6"/>
        <v>0</v>
      </c>
      <c r="M31" s="95"/>
      <c r="N31" s="29" t="s">
        <v>562</v>
      </c>
      <c r="O31" s="29"/>
      <c r="P31" s="232" t="s">
        <v>865</v>
      </c>
      <c r="Q31" s="146">
        <f t="shared" si="1"/>
        <v>19780</v>
      </c>
      <c r="R31" s="146">
        <f t="shared" si="2"/>
        <v>19780</v>
      </c>
      <c r="S31" s="134"/>
      <c r="T31" s="138">
        <f t="shared" si="3"/>
        <v>0</v>
      </c>
    </row>
    <row r="32" spans="1:20" ht="24" customHeight="1">
      <c r="A32" s="53" t="s">
        <v>25</v>
      </c>
      <c r="B32" s="26" t="s">
        <v>618</v>
      </c>
      <c r="C32" s="25">
        <v>9</v>
      </c>
      <c r="D32" s="25">
        <v>1</v>
      </c>
      <c r="E32" s="25">
        <v>24</v>
      </c>
      <c r="F32" s="27">
        <f t="shared" si="0"/>
        <v>26240</v>
      </c>
      <c r="G32" s="57">
        <v>820</v>
      </c>
      <c r="H32" s="57">
        <f t="shared" si="4"/>
        <v>1093.3333333333333</v>
      </c>
      <c r="I32" s="57"/>
      <c r="J32" s="57"/>
      <c r="K32" s="162">
        <f t="shared" si="5"/>
        <v>0</v>
      </c>
      <c r="L32" s="162">
        <f t="shared" si="6"/>
        <v>0</v>
      </c>
      <c r="M32" s="111"/>
      <c r="N32" s="29" t="s">
        <v>562</v>
      </c>
      <c r="O32" s="29"/>
      <c r="P32" s="235" t="s">
        <v>864</v>
      </c>
      <c r="Q32" s="146">
        <f t="shared" si="1"/>
        <v>26240</v>
      </c>
      <c r="R32" s="146">
        <f t="shared" si="2"/>
        <v>1093.3333333333333</v>
      </c>
      <c r="S32" s="134"/>
      <c r="T32" s="138">
        <f t="shared" si="3"/>
        <v>0</v>
      </c>
    </row>
    <row r="33" spans="1:20" ht="25.5">
      <c r="A33" s="53" t="s">
        <v>800</v>
      </c>
      <c r="B33" s="67" t="s">
        <v>801</v>
      </c>
      <c r="C33" s="25">
        <v>10</v>
      </c>
      <c r="D33" s="25">
        <v>1</v>
      </c>
      <c r="E33" s="25">
        <v>24</v>
      </c>
      <c r="F33" s="27">
        <f t="shared" si="0"/>
        <v>28800</v>
      </c>
      <c r="G33" s="57">
        <v>940</v>
      </c>
      <c r="H33" s="57">
        <v>1200</v>
      </c>
      <c r="I33" s="25">
        <v>7.1999999999999995E-2</v>
      </c>
      <c r="J33" s="25">
        <v>19</v>
      </c>
      <c r="K33" s="162">
        <f t="shared" si="5"/>
        <v>0</v>
      </c>
      <c r="L33" s="162">
        <f t="shared" si="6"/>
        <v>0</v>
      </c>
      <c r="M33" s="111"/>
      <c r="N33" s="29" t="s">
        <v>562</v>
      </c>
      <c r="O33" s="29"/>
      <c r="P33" s="232" t="s">
        <v>865</v>
      </c>
      <c r="Q33" s="146">
        <f t="shared" si="1"/>
        <v>28800</v>
      </c>
      <c r="R33" s="146">
        <f t="shared" si="2"/>
        <v>1200</v>
      </c>
      <c r="S33" s="134"/>
      <c r="T33" s="138">
        <f t="shared" si="3"/>
        <v>0</v>
      </c>
    </row>
    <row r="34" spans="1:20">
      <c r="A34" s="117" t="s">
        <v>26</v>
      </c>
      <c r="B34" s="30" t="s">
        <v>27</v>
      </c>
      <c r="C34" s="31">
        <v>12</v>
      </c>
      <c r="D34" s="31">
        <v>1</v>
      </c>
      <c r="E34" s="31">
        <v>18</v>
      </c>
      <c r="F34" s="27">
        <f t="shared" si="0"/>
        <v>24480</v>
      </c>
      <c r="G34" s="102">
        <v>1020</v>
      </c>
      <c r="H34" s="57">
        <f t="shared" si="4"/>
        <v>1360</v>
      </c>
      <c r="I34" s="167">
        <v>3.4000000000000002E-2</v>
      </c>
      <c r="J34" s="168">
        <v>15.8</v>
      </c>
      <c r="K34" s="162">
        <f t="shared" si="5"/>
        <v>0</v>
      </c>
      <c r="L34" s="162">
        <f t="shared" si="6"/>
        <v>0</v>
      </c>
      <c r="M34" s="101"/>
      <c r="N34" s="29" t="s">
        <v>562</v>
      </c>
      <c r="O34" s="29"/>
      <c r="P34" s="235" t="s">
        <v>864</v>
      </c>
      <c r="Q34" s="146">
        <f t="shared" si="1"/>
        <v>24480</v>
      </c>
      <c r="R34" s="146">
        <f t="shared" si="2"/>
        <v>1360</v>
      </c>
      <c r="S34" s="134"/>
      <c r="T34" s="138">
        <f t="shared" si="3"/>
        <v>0</v>
      </c>
    </row>
    <row r="35" spans="1:20" ht="21">
      <c r="A35" s="117" t="s">
        <v>28</v>
      </c>
      <c r="B35" s="30" t="s">
        <v>557</v>
      </c>
      <c r="C35" s="31">
        <v>16</v>
      </c>
      <c r="D35" s="31">
        <v>1</v>
      </c>
      <c r="E35" s="31">
        <v>16</v>
      </c>
      <c r="F35" s="27">
        <f t="shared" si="0"/>
        <v>30080</v>
      </c>
      <c r="G35" s="102">
        <v>1410</v>
      </c>
      <c r="H35" s="57">
        <f t="shared" si="4"/>
        <v>1880</v>
      </c>
      <c r="I35" s="25">
        <v>4.3999999999999997E-2</v>
      </c>
      <c r="J35" s="25">
        <v>20.399999999999999</v>
      </c>
      <c r="K35" s="162">
        <f t="shared" si="5"/>
        <v>0</v>
      </c>
      <c r="L35" s="162">
        <f t="shared" si="6"/>
        <v>0</v>
      </c>
      <c r="M35" s="33" t="s">
        <v>128</v>
      </c>
      <c r="N35" s="29" t="s">
        <v>562</v>
      </c>
      <c r="O35" s="126" t="s">
        <v>845</v>
      </c>
      <c r="P35" s="232" t="s">
        <v>863</v>
      </c>
      <c r="Q35" s="146">
        <f t="shared" si="1"/>
        <v>30080</v>
      </c>
      <c r="R35" s="146">
        <f t="shared" si="2"/>
        <v>1880</v>
      </c>
      <c r="S35" s="134"/>
      <c r="T35" s="138">
        <f t="shared" si="3"/>
        <v>0</v>
      </c>
    </row>
    <row r="36" spans="1:20">
      <c r="A36" s="117" t="s">
        <v>574</v>
      </c>
      <c r="B36" s="30" t="s">
        <v>612</v>
      </c>
      <c r="C36" s="31">
        <v>16</v>
      </c>
      <c r="D36" s="31">
        <v>1</v>
      </c>
      <c r="E36" s="31">
        <v>18</v>
      </c>
      <c r="F36" s="27">
        <f t="shared" si="0"/>
        <v>29700</v>
      </c>
      <c r="G36" s="102">
        <v>1300</v>
      </c>
      <c r="H36" s="57">
        <v>1650</v>
      </c>
      <c r="I36" s="25">
        <v>5.6000000000000001E-2</v>
      </c>
      <c r="J36" s="25">
        <v>23.7</v>
      </c>
      <c r="K36" s="162">
        <f t="shared" si="5"/>
        <v>0</v>
      </c>
      <c r="L36" s="162">
        <f t="shared" si="6"/>
        <v>0</v>
      </c>
      <c r="M36" s="33"/>
      <c r="N36" s="29" t="s">
        <v>562</v>
      </c>
      <c r="O36" s="29"/>
      <c r="P36" s="232" t="s">
        <v>863</v>
      </c>
      <c r="Q36" s="146">
        <f t="shared" si="1"/>
        <v>29700</v>
      </c>
      <c r="R36" s="146">
        <f t="shared" si="2"/>
        <v>1650</v>
      </c>
      <c r="S36" s="134"/>
      <c r="T36" s="138">
        <f t="shared" si="3"/>
        <v>0</v>
      </c>
    </row>
    <row r="37" spans="1:20" ht="25.5">
      <c r="A37" s="53" t="s">
        <v>29</v>
      </c>
      <c r="B37" s="26" t="s">
        <v>30</v>
      </c>
      <c r="C37" s="25">
        <v>19</v>
      </c>
      <c r="D37" s="25">
        <v>1</v>
      </c>
      <c r="E37" s="25">
        <v>12</v>
      </c>
      <c r="F37" s="27">
        <f t="shared" si="0"/>
        <v>22800</v>
      </c>
      <c r="G37" s="57">
        <v>1650</v>
      </c>
      <c r="H37" s="57">
        <v>1900</v>
      </c>
      <c r="I37" s="167">
        <v>4.8000000000000001E-2</v>
      </c>
      <c r="J37" s="168">
        <v>17.8</v>
      </c>
      <c r="K37" s="162">
        <f t="shared" si="5"/>
        <v>0</v>
      </c>
      <c r="L37" s="162">
        <f t="shared" si="6"/>
        <v>0</v>
      </c>
      <c r="M37" s="101"/>
      <c r="N37" s="29" t="s">
        <v>562</v>
      </c>
      <c r="O37" s="126" t="s">
        <v>845</v>
      </c>
      <c r="P37" s="232" t="s">
        <v>865</v>
      </c>
      <c r="Q37" s="146">
        <f t="shared" si="1"/>
        <v>22800</v>
      </c>
      <c r="R37" s="146">
        <f t="shared" si="2"/>
        <v>1900</v>
      </c>
      <c r="S37" s="134"/>
      <c r="T37" s="138">
        <f t="shared" si="3"/>
        <v>0</v>
      </c>
    </row>
    <row r="38" spans="1:20" ht="21">
      <c r="A38" s="53" t="s">
        <v>575</v>
      </c>
      <c r="B38" s="26" t="s">
        <v>602</v>
      </c>
      <c r="C38" s="25">
        <v>20</v>
      </c>
      <c r="D38" s="25">
        <v>1</v>
      </c>
      <c r="E38" s="25">
        <v>12</v>
      </c>
      <c r="F38" s="27">
        <f t="shared" si="0"/>
        <v>24120</v>
      </c>
      <c r="G38" s="57">
        <v>1790</v>
      </c>
      <c r="H38" s="57">
        <v>2010</v>
      </c>
      <c r="I38" s="167">
        <v>4.4999999999999998E-2</v>
      </c>
      <c r="J38" s="168">
        <v>18.8</v>
      </c>
      <c r="K38" s="162">
        <f t="shared" si="5"/>
        <v>0</v>
      </c>
      <c r="L38" s="162">
        <f t="shared" si="6"/>
        <v>0</v>
      </c>
      <c r="M38" s="101"/>
      <c r="N38" s="29" t="s">
        <v>562</v>
      </c>
      <c r="O38" s="126" t="s">
        <v>845</v>
      </c>
      <c r="P38" s="235" t="s">
        <v>864</v>
      </c>
      <c r="Q38" s="146">
        <f t="shared" si="1"/>
        <v>24120</v>
      </c>
      <c r="R38" s="146">
        <f t="shared" si="2"/>
        <v>2010</v>
      </c>
      <c r="S38" s="134"/>
      <c r="T38" s="138">
        <f t="shared" si="3"/>
        <v>0</v>
      </c>
    </row>
    <row r="39" spans="1:20" ht="21">
      <c r="A39" s="53" t="s">
        <v>629</v>
      </c>
      <c r="B39" s="67" t="s">
        <v>761</v>
      </c>
      <c r="C39" s="25">
        <v>25</v>
      </c>
      <c r="D39" s="25">
        <v>1</v>
      </c>
      <c r="E39" s="25">
        <v>12</v>
      </c>
      <c r="F39" s="27">
        <f t="shared" si="0"/>
        <v>28200</v>
      </c>
      <c r="G39" s="57">
        <v>2070</v>
      </c>
      <c r="H39" s="57">
        <v>2350</v>
      </c>
      <c r="I39" s="167">
        <v>5.7000000000000002E-2</v>
      </c>
      <c r="J39" s="168">
        <v>26.1</v>
      </c>
      <c r="K39" s="162">
        <f t="shared" si="5"/>
        <v>0</v>
      </c>
      <c r="L39" s="162">
        <f t="shared" si="6"/>
        <v>0</v>
      </c>
      <c r="M39" s="101"/>
      <c r="N39" s="29" t="s">
        <v>562</v>
      </c>
      <c r="O39" s="126" t="s">
        <v>845</v>
      </c>
      <c r="P39" s="235" t="s">
        <v>864</v>
      </c>
      <c r="Q39" s="146">
        <f t="shared" si="1"/>
        <v>28200</v>
      </c>
      <c r="R39" s="146">
        <f t="shared" si="2"/>
        <v>2350</v>
      </c>
      <c r="S39" s="134"/>
      <c r="T39" s="138">
        <f t="shared" si="3"/>
        <v>0</v>
      </c>
    </row>
    <row r="40" spans="1:20" ht="21">
      <c r="A40" s="117" t="s">
        <v>31</v>
      </c>
      <c r="B40" s="30" t="s">
        <v>32</v>
      </c>
      <c r="C40" s="31">
        <v>25</v>
      </c>
      <c r="D40" s="31">
        <v>1</v>
      </c>
      <c r="E40" s="25">
        <v>8</v>
      </c>
      <c r="F40" s="27">
        <f t="shared" si="0"/>
        <v>18800</v>
      </c>
      <c r="G40" s="57">
        <v>2070</v>
      </c>
      <c r="H40" s="57">
        <v>2350</v>
      </c>
      <c r="I40" s="167">
        <v>3.6999999999999998E-2</v>
      </c>
      <c r="J40" s="168">
        <v>15.9</v>
      </c>
      <c r="K40" s="162">
        <f t="shared" si="5"/>
        <v>0</v>
      </c>
      <c r="L40" s="162">
        <f t="shared" si="6"/>
        <v>0</v>
      </c>
      <c r="M40" s="101"/>
      <c r="N40" s="29" t="s">
        <v>562</v>
      </c>
      <c r="O40" s="126" t="s">
        <v>845</v>
      </c>
      <c r="P40" s="235" t="s">
        <v>864</v>
      </c>
      <c r="Q40" s="146">
        <f t="shared" si="1"/>
        <v>18800</v>
      </c>
      <c r="R40" s="146">
        <f t="shared" si="2"/>
        <v>2350</v>
      </c>
      <c r="S40" s="134"/>
      <c r="T40" s="138">
        <f t="shared" si="3"/>
        <v>0</v>
      </c>
    </row>
    <row r="41" spans="1:20" ht="21">
      <c r="A41" s="53" t="s">
        <v>33</v>
      </c>
      <c r="B41" s="26" t="s">
        <v>34</v>
      </c>
      <c r="C41" s="25">
        <v>36</v>
      </c>
      <c r="D41" s="25">
        <v>1</v>
      </c>
      <c r="E41" s="25">
        <v>6</v>
      </c>
      <c r="F41" s="27">
        <f t="shared" si="0"/>
        <v>21000</v>
      </c>
      <c r="G41" s="57">
        <v>3100</v>
      </c>
      <c r="H41" s="57">
        <v>3500</v>
      </c>
      <c r="I41" s="167">
        <v>3.5000000000000003E-2</v>
      </c>
      <c r="J41" s="168">
        <v>16.100000000000001</v>
      </c>
      <c r="K41" s="162">
        <f t="shared" si="5"/>
        <v>0</v>
      </c>
      <c r="L41" s="162">
        <f t="shared" si="6"/>
        <v>0</v>
      </c>
      <c r="M41" s="111"/>
      <c r="N41" s="29" t="s">
        <v>562</v>
      </c>
      <c r="O41" s="126" t="s">
        <v>845</v>
      </c>
      <c r="P41" s="235" t="s">
        <v>864</v>
      </c>
      <c r="Q41" s="146">
        <f t="shared" si="1"/>
        <v>21000</v>
      </c>
      <c r="R41" s="146">
        <f t="shared" si="2"/>
        <v>3500</v>
      </c>
      <c r="S41" s="134"/>
      <c r="T41" s="138">
        <f t="shared" si="3"/>
        <v>0</v>
      </c>
    </row>
    <row r="42" spans="1:20" ht="21">
      <c r="A42" s="53" t="s">
        <v>630</v>
      </c>
      <c r="B42" s="67" t="s">
        <v>762</v>
      </c>
      <c r="C42" s="25">
        <v>36</v>
      </c>
      <c r="D42" s="25">
        <v>1</v>
      </c>
      <c r="E42" s="25">
        <v>6</v>
      </c>
      <c r="F42" s="27">
        <f t="shared" si="0"/>
        <v>21000</v>
      </c>
      <c r="G42" s="57">
        <v>4027</v>
      </c>
      <c r="H42" s="57">
        <v>3500</v>
      </c>
      <c r="I42" s="167">
        <v>4.2000000000000003E-2</v>
      </c>
      <c r="J42" s="168">
        <v>18.7</v>
      </c>
      <c r="K42" s="162">
        <f t="shared" si="5"/>
        <v>0</v>
      </c>
      <c r="L42" s="162">
        <f t="shared" si="6"/>
        <v>0</v>
      </c>
      <c r="M42" s="111"/>
      <c r="N42" s="29" t="s">
        <v>562</v>
      </c>
      <c r="O42" s="126" t="s">
        <v>845</v>
      </c>
      <c r="P42" s="235" t="s">
        <v>864</v>
      </c>
      <c r="Q42" s="146">
        <f t="shared" si="1"/>
        <v>21000</v>
      </c>
      <c r="R42" s="146">
        <f t="shared" si="2"/>
        <v>3500</v>
      </c>
      <c r="S42" s="134"/>
      <c r="T42" s="138">
        <f t="shared" si="3"/>
        <v>0</v>
      </c>
    </row>
    <row r="43" spans="1:20" ht="25.5">
      <c r="A43" s="53" t="s">
        <v>35</v>
      </c>
      <c r="B43" s="26" t="s">
        <v>36</v>
      </c>
      <c r="C43" s="25">
        <v>49</v>
      </c>
      <c r="D43" s="25">
        <v>1</v>
      </c>
      <c r="E43" s="25">
        <v>4</v>
      </c>
      <c r="F43" s="27">
        <f t="shared" si="0"/>
        <v>23040</v>
      </c>
      <c r="G43" s="57">
        <v>4320</v>
      </c>
      <c r="H43" s="57">
        <f t="shared" si="4"/>
        <v>5760</v>
      </c>
      <c r="I43" s="167">
        <v>3.6999999999999998E-2</v>
      </c>
      <c r="J43" s="168">
        <v>15.4</v>
      </c>
      <c r="K43" s="162">
        <f t="shared" si="5"/>
        <v>0</v>
      </c>
      <c r="L43" s="162">
        <f t="shared" si="6"/>
        <v>0</v>
      </c>
      <c r="M43" s="113"/>
      <c r="N43" s="29" t="s">
        <v>562</v>
      </c>
      <c r="O43" s="126" t="s">
        <v>845</v>
      </c>
      <c r="P43" s="232" t="s">
        <v>865</v>
      </c>
      <c r="Q43" s="146">
        <f t="shared" si="1"/>
        <v>23040</v>
      </c>
      <c r="R43" s="146">
        <f t="shared" si="2"/>
        <v>5760</v>
      </c>
      <c r="S43" s="134"/>
      <c r="T43" s="138">
        <f t="shared" si="3"/>
        <v>0</v>
      </c>
    </row>
    <row r="44" spans="1:20" ht="25.5">
      <c r="A44" s="53" t="s">
        <v>37</v>
      </c>
      <c r="B44" s="26" t="s">
        <v>38</v>
      </c>
      <c r="C44" s="25">
        <v>49</v>
      </c>
      <c r="D44" s="25">
        <v>1</v>
      </c>
      <c r="E44" s="25">
        <v>4</v>
      </c>
      <c r="F44" s="27">
        <f t="shared" si="0"/>
        <v>26239.999999999996</v>
      </c>
      <c r="G44" s="57">
        <v>4920</v>
      </c>
      <c r="H44" s="57">
        <f t="shared" si="4"/>
        <v>6559.9999999999991</v>
      </c>
      <c r="I44" s="167">
        <v>6.6000000000000003E-2</v>
      </c>
      <c r="J44" s="168">
        <v>16.2</v>
      </c>
      <c r="K44" s="162">
        <f t="shared" si="5"/>
        <v>0</v>
      </c>
      <c r="L44" s="162">
        <f t="shared" si="6"/>
        <v>0</v>
      </c>
      <c r="M44" s="25" t="s">
        <v>564</v>
      </c>
      <c r="N44" s="29" t="s">
        <v>562</v>
      </c>
      <c r="O44" s="126" t="s">
        <v>845</v>
      </c>
      <c r="P44" s="232" t="s">
        <v>863</v>
      </c>
      <c r="Q44" s="146">
        <f t="shared" si="1"/>
        <v>26239.999999999996</v>
      </c>
      <c r="R44" s="146">
        <f t="shared" si="2"/>
        <v>6559.9999999999991</v>
      </c>
      <c r="S44" s="134"/>
      <c r="T44" s="138">
        <f t="shared" si="3"/>
        <v>0</v>
      </c>
    </row>
    <row r="45" spans="1:20">
      <c r="A45" s="53" t="s">
        <v>576</v>
      </c>
      <c r="B45" s="26" t="s">
        <v>603</v>
      </c>
      <c r="C45" s="25">
        <v>49</v>
      </c>
      <c r="D45" s="25">
        <v>1</v>
      </c>
      <c r="E45" s="25">
        <v>4</v>
      </c>
      <c r="F45" s="27">
        <f t="shared" ref="F45:F76" si="7">H45*E45</f>
        <v>20848</v>
      </c>
      <c r="G45" s="57">
        <v>4170</v>
      </c>
      <c r="H45" s="57">
        <v>5212</v>
      </c>
      <c r="I45" s="25">
        <v>3.9E-2</v>
      </c>
      <c r="J45" s="25">
        <v>15.7</v>
      </c>
      <c r="K45" s="162">
        <f t="shared" si="5"/>
        <v>0</v>
      </c>
      <c r="L45" s="162">
        <f t="shared" si="6"/>
        <v>0</v>
      </c>
      <c r="M45" s="25"/>
      <c r="N45" s="29" t="s">
        <v>562</v>
      </c>
      <c r="O45" s="29"/>
      <c r="P45" s="232" t="s">
        <v>863</v>
      </c>
      <c r="Q45" s="146">
        <f t="shared" si="1"/>
        <v>20848</v>
      </c>
      <c r="R45" s="146">
        <f t="shared" si="2"/>
        <v>5212</v>
      </c>
      <c r="S45" s="134"/>
      <c r="T45" s="138">
        <f t="shared" si="3"/>
        <v>0</v>
      </c>
    </row>
    <row r="46" spans="1:20">
      <c r="A46" s="53" t="s">
        <v>631</v>
      </c>
      <c r="B46" s="67" t="s">
        <v>763</v>
      </c>
      <c r="C46" s="25">
        <v>49</v>
      </c>
      <c r="D46" s="25">
        <v>1</v>
      </c>
      <c r="E46" s="25">
        <v>4</v>
      </c>
      <c r="F46" s="27">
        <f t="shared" si="7"/>
        <v>22240</v>
      </c>
      <c r="G46" s="57">
        <v>4170</v>
      </c>
      <c r="H46" s="57">
        <f t="shared" si="4"/>
        <v>5560</v>
      </c>
      <c r="I46" s="167">
        <v>3.7999999999999999E-2</v>
      </c>
      <c r="J46" s="168">
        <v>15.7</v>
      </c>
      <c r="K46" s="162">
        <f t="shared" si="5"/>
        <v>0</v>
      </c>
      <c r="L46" s="162">
        <f t="shared" si="6"/>
        <v>0</v>
      </c>
      <c r="M46" s="95"/>
      <c r="N46" s="29" t="s">
        <v>562</v>
      </c>
      <c r="O46" s="29"/>
      <c r="P46" s="232" t="s">
        <v>863</v>
      </c>
      <c r="Q46" s="146">
        <f t="shared" si="1"/>
        <v>22240</v>
      </c>
      <c r="R46" s="146">
        <f t="shared" si="2"/>
        <v>5560</v>
      </c>
      <c r="S46" s="134"/>
      <c r="T46" s="138">
        <f t="shared" si="3"/>
        <v>0</v>
      </c>
    </row>
    <row r="47" spans="1:20">
      <c r="A47" s="53" t="s">
        <v>802</v>
      </c>
      <c r="B47" s="54" t="s">
        <v>803</v>
      </c>
      <c r="C47" s="25">
        <v>55</v>
      </c>
      <c r="D47" s="25">
        <v>1</v>
      </c>
      <c r="E47" s="25">
        <v>4</v>
      </c>
      <c r="F47" s="27">
        <f t="shared" si="7"/>
        <v>23000</v>
      </c>
      <c r="G47" s="57">
        <v>4530</v>
      </c>
      <c r="H47" s="57">
        <v>5750</v>
      </c>
      <c r="I47" s="25">
        <v>4.2000000000000003E-2</v>
      </c>
      <c r="J47" s="25">
        <v>17.5</v>
      </c>
      <c r="K47" s="162">
        <f t="shared" si="5"/>
        <v>0</v>
      </c>
      <c r="L47" s="162">
        <f t="shared" si="6"/>
        <v>0</v>
      </c>
      <c r="M47" s="95"/>
      <c r="N47" s="29" t="s">
        <v>562</v>
      </c>
      <c r="O47" s="29"/>
      <c r="P47" s="232" t="s">
        <v>863</v>
      </c>
      <c r="Q47" s="146">
        <f t="shared" si="1"/>
        <v>23000</v>
      </c>
      <c r="R47" s="146">
        <f t="shared" si="2"/>
        <v>5750</v>
      </c>
      <c r="S47" s="134"/>
      <c r="T47" s="138">
        <f t="shared" si="3"/>
        <v>0</v>
      </c>
    </row>
    <row r="48" spans="1:20" ht="21">
      <c r="A48" s="53" t="s">
        <v>804</v>
      </c>
      <c r="B48" s="54" t="s">
        <v>846</v>
      </c>
      <c r="C48" s="25">
        <v>66</v>
      </c>
      <c r="D48" s="25">
        <v>1</v>
      </c>
      <c r="E48" s="25">
        <v>2</v>
      </c>
      <c r="F48" s="27">
        <f t="shared" si="7"/>
        <v>15546.666666666666</v>
      </c>
      <c r="G48" s="57">
        <v>5830</v>
      </c>
      <c r="H48" s="57">
        <f t="shared" si="4"/>
        <v>7773.333333333333</v>
      </c>
      <c r="I48" s="25">
        <v>3.9E-2</v>
      </c>
      <c r="J48" s="25">
        <v>11.3</v>
      </c>
      <c r="K48" s="162">
        <f t="shared" si="5"/>
        <v>0</v>
      </c>
      <c r="L48" s="162">
        <f t="shared" si="6"/>
        <v>0</v>
      </c>
      <c r="M48" s="25" t="s">
        <v>834</v>
      </c>
      <c r="N48" s="126" t="s">
        <v>562</v>
      </c>
      <c r="O48" s="126" t="s">
        <v>845</v>
      </c>
      <c r="P48" s="232" t="s">
        <v>863</v>
      </c>
      <c r="Q48" s="146">
        <f>F48*(1-$Q$10)</f>
        <v>15546.666666666666</v>
      </c>
      <c r="R48" s="146">
        <f t="shared" si="2"/>
        <v>7773.333333333333</v>
      </c>
      <c r="S48" s="134"/>
      <c r="T48" s="138">
        <f>S48*Q48</f>
        <v>0</v>
      </c>
    </row>
    <row r="49" spans="1:20" ht="21">
      <c r="A49" s="53" t="s">
        <v>626</v>
      </c>
      <c r="B49" s="26" t="s">
        <v>39</v>
      </c>
      <c r="C49" s="25">
        <v>96</v>
      </c>
      <c r="D49" s="25">
        <v>1</v>
      </c>
      <c r="E49" s="25">
        <v>2</v>
      </c>
      <c r="F49" s="27">
        <f t="shared" si="7"/>
        <v>19980</v>
      </c>
      <c r="G49" s="57">
        <v>8260</v>
      </c>
      <c r="H49" s="57">
        <v>9990</v>
      </c>
      <c r="I49" s="167">
        <v>3.5000000000000003E-2</v>
      </c>
      <c r="J49" s="168">
        <v>15.3</v>
      </c>
      <c r="K49" s="162">
        <f t="shared" si="5"/>
        <v>0</v>
      </c>
      <c r="L49" s="162">
        <f t="shared" si="6"/>
        <v>0</v>
      </c>
      <c r="M49" s="111"/>
      <c r="N49" s="29" t="s">
        <v>562</v>
      </c>
      <c r="O49" s="126" t="s">
        <v>845</v>
      </c>
      <c r="P49" s="235" t="s">
        <v>864</v>
      </c>
      <c r="Q49" s="146">
        <f t="shared" si="1"/>
        <v>19980</v>
      </c>
      <c r="R49" s="146">
        <f t="shared" si="2"/>
        <v>9990</v>
      </c>
      <c r="S49" s="134"/>
      <c r="T49" s="138">
        <f t="shared" si="3"/>
        <v>0</v>
      </c>
    </row>
    <row r="50" spans="1:20">
      <c r="A50" s="53" t="s">
        <v>577</v>
      </c>
      <c r="B50" s="26" t="s">
        <v>604</v>
      </c>
      <c r="C50" s="25">
        <v>100</v>
      </c>
      <c r="D50" s="25">
        <v>1</v>
      </c>
      <c r="E50" s="25">
        <v>2</v>
      </c>
      <c r="F50" s="27">
        <f t="shared" si="7"/>
        <v>23973.333333333332</v>
      </c>
      <c r="G50" s="57">
        <v>8990</v>
      </c>
      <c r="H50" s="57">
        <f t="shared" si="4"/>
        <v>11986.666666666666</v>
      </c>
      <c r="I50" s="167">
        <v>4.8000000000000001E-2</v>
      </c>
      <c r="J50" s="168">
        <v>16</v>
      </c>
      <c r="K50" s="162">
        <f t="shared" si="5"/>
        <v>0</v>
      </c>
      <c r="L50" s="162">
        <f t="shared" si="6"/>
        <v>0</v>
      </c>
      <c r="M50" s="111"/>
      <c r="N50" s="29" t="s">
        <v>562</v>
      </c>
      <c r="O50" s="29"/>
      <c r="P50" s="235" t="s">
        <v>864</v>
      </c>
      <c r="Q50" s="146">
        <f t="shared" si="1"/>
        <v>23973.333333333332</v>
      </c>
      <c r="R50" s="146">
        <f t="shared" si="2"/>
        <v>11986.666666666666</v>
      </c>
      <c r="S50" s="134"/>
      <c r="T50" s="138">
        <f t="shared" si="3"/>
        <v>0</v>
      </c>
    </row>
    <row r="51" spans="1:20" ht="21">
      <c r="A51" s="53" t="s">
        <v>578</v>
      </c>
      <c r="B51" s="26" t="s">
        <v>605</v>
      </c>
      <c r="C51" s="25">
        <v>144</v>
      </c>
      <c r="D51" s="25">
        <v>1</v>
      </c>
      <c r="E51" s="25">
        <v>1</v>
      </c>
      <c r="F51" s="27">
        <f t="shared" si="7"/>
        <v>16733.333333333336</v>
      </c>
      <c r="G51" s="57">
        <v>12550</v>
      </c>
      <c r="H51" s="57">
        <f t="shared" si="4"/>
        <v>16733.333333333336</v>
      </c>
      <c r="I51" s="25">
        <v>2.7E-2</v>
      </c>
      <c r="J51" s="25">
        <v>12.2</v>
      </c>
      <c r="K51" s="162">
        <f t="shared" si="5"/>
        <v>0</v>
      </c>
      <c r="L51" s="162">
        <f t="shared" si="6"/>
        <v>0</v>
      </c>
      <c r="M51" s="111"/>
      <c r="N51" s="29" t="s">
        <v>562</v>
      </c>
      <c r="O51" s="126" t="s">
        <v>845</v>
      </c>
      <c r="P51" s="232" t="s">
        <v>863</v>
      </c>
      <c r="Q51" s="146">
        <f t="shared" si="1"/>
        <v>16733.333333333336</v>
      </c>
      <c r="R51" s="146">
        <f t="shared" si="2"/>
        <v>16733.333333333336</v>
      </c>
      <c r="S51" s="134"/>
      <c r="T51" s="138">
        <f t="shared" si="3"/>
        <v>0</v>
      </c>
    </row>
    <row r="52" spans="1:20" ht="25.5">
      <c r="A52" s="53" t="s">
        <v>632</v>
      </c>
      <c r="B52" s="54" t="s">
        <v>674</v>
      </c>
      <c r="C52" s="25">
        <v>150</v>
      </c>
      <c r="D52" s="25">
        <v>1</v>
      </c>
      <c r="E52" s="25">
        <v>1</v>
      </c>
      <c r="F52" s="27">
        <f t="shared" si="7"/>
        <v>16000</v>
      </c>
      <c r="G52" s="57">
        <v>13150</v>
      </c>
      <c r="H52" s="57">
        <v>16000</v>
      </c>
      <c r="I52" s="25">
        <v>0.03</v>
      </c>
      <c r="J52" s="25">
        <v>11.7</v>
      </c>
      <c r="K52" s="162">
        <f t="shared" si="5"/>
        <v>0</v>
      </c>
      <c r="L52" s="162">
        <f t="shared" si="6"/>
        <v>0</v>
      </c>
      <c r="M52" s="111"/>
      <c r="N52" s="29" t="s">
        <v>562</v>
      </c>
      <c r="O52" s="29"/>
      <c r="P52" s="232" t="s">
        <v>865</v>
      </c>
      <c r="Q52" s="146">
        <f t="shared" si="1"/>
        <v>16000</v>
      </c>
      <c r="R52" s="146">
        <f t="shared" si="2"/>
        <v>16000</v>
      </c>
      <c r="S52" s="134"/>
      <c r="T52" s="138">
        <f t="shared" si="3"/>
        <v>0</v>
      </c>
    </row>
    <row r="53" spans="1:20">
      <c r="A53" s="117" t="s">
        <v>633</v>
      </c>
      <c r="B53" s="35" t="s">
        <v>673</v>
      </c>
      <c r="C53" s="31">
        <v>200</v>
      </c>
      <c r="D53" s="31">
        <v>1</v>
      </c>
      <c r="E53" s="31">
        <v>1</v>
      </c>
      <c r="F53" s="27">
        <f t="shared" si="7"/>
        <v>25666.666666666668</v>
      </c>
      <c r="G53" s="57">
        <v>19250</v>
      </c>
      <c r="H53" s="57">
        <f t="shared" si="4"/>
        <v>25666.666666666668</v>
      </c>
      <c r="I53" s="25">
        <v>4.2000000000000003E-2</v>
      </c>
      <c r="J53" s="25">
        <v>17.2</v>
      </c>
      <c r="K53" s="162">
        <f t="shared" si="5"/>
        <v>0</v>
      </c>
      <c r="L53" s="162">
        <f t="shared" si="6"/>
        <v>0</v>
      </c>
      <c r="M53" s="101"/>
      <c r="N53" s="29" t="s">
        <v>562</v>
      </c>
      <c r="O53" s="29"/>
      <c r="P53" s="232" t="s">
        <v>863</v>
      </c>
      <c r="Q53" s="146">
        <f t="shared" si="1"/>
        <v>25666.666666666668</v>
      </c>
      <c r="R53" s="146">
        <f t="shared" si="2"/>
        <v>25666.666666666668</v>
      </c>
      <c r="S53" s="134"/>
      <c r="T53" s="138">
        <f t="shared" si="3"/>
        <v>0</v>
      </c>
    </row>
    <row r="54" spans="1:20" ht="21">
      <c r="A54" s="117" t="s">
        <v>685</v>
      </c>
      <c r="B54" s="35" t="s">
        <v>764</v>
      </c>
      <c r="C54" s="31">
        <v>300</v>
      </c>
      <c r="D54" s="31">
        <v>1</v>
      </c>
      <c r="E54" s="31">
        <v>1</v>
      </c>
      <c r="F54" s="27">
        <f t="shared" si="7"/>
        <v>35333.333333333328</v>
      </c>
      <c r="G54" s="57">
        <v>26500</v>
      </c>
      <c r="H54" s="57">
        <f t="shared" si="4"/>
        <v>35333.333333333328</v>
      </c>
      <c r="I54" s="25">
        <v>5.7000000000000002E-2</v>
      </c>
      <c r="J54" s="25">
        <v>25</v>
      </c>
      <c r="K54" s="162">
        <f t="shared" si="5"/>
        <v>0</v>
      </c>
      <c r="L54" s="162">
        <f t="shared" si="6"/>
        <v>0</v>
      </c>
      <c r="M54" s="101"/>
      <c r="N54" s="29" t="s">
        <v>562</v>
      </c>
      <c r="O54" s="126" t="s">
        <v>845</v>
      </c>
      <c r="P54" s="232" t="s">
        <v>863</v>
      </c>
      <c r="Q54" s="146">
        <f t="shared" si="1"/>
        <v>35333.333333333328</v>
      </c>
      <c r="R54" s="146">
        <f t="shared" si="2"/>
        <v>35333.333333333328</v>
      </c>
      <c r="S54" s="134"/>
      <c r="T54" s="138">
        <f t="shared" si="3"/>
        <v>0</v>
      </c>
    </row>
    <row r="55" spans="1:20" ht="21">
      <c r="A55" s="53" t="s">
        <v>634</v>
      </c>
      <c r="B55" s="54" t="s">
        <v>765</v>
      </c>
      <c r="C55" s="25">
        <v>9</v>
      </c>
      <c r="D55" s="25">
        <v>1.25</v>
      </c>
      <c r="E55" s="25">
        <v>16</v>
      </c>
      <c r="F55" s="27">
        <f t="shared" si="7"/>
        <v>23466.666666666664</v>
      </c>
      <c r="G55" s="57">
        <v>1100</v>
      </c>
      <c r="H55" s="57">
        <f t="shared" si="4"/>
        <v>1466.6666666666665</v>
      </c>
      <c r="I55" s="167">
        <v>3.4000000000000002E-2</v>
      </c>
      <c r="J55" s="168">
        <v>17.899999999999999</v>
      </c>
      <c r="K55" s="162">
        <f t="shared" si="5"/>
        <v>0</v>
      </c>
      <c r="L55" s="162">
        <f t="shared" si="6"/>
        <v>0</v>
      </c>
      <c r="M55" s="101"/>
      <c r="N55" s="29" t="s">
        <v>562</v>
      </c>
      <c r="O55" s="126" t="s">
        <v>845</v>
      </c>
      <c r="P55" s="235" t="s">
        <v>864</v>
      </c>
      <c r="Q55" s="146">
        <f t="shared" si="1"/>
        <v>23466.666666666664</v>
      </c>
      <c r="R55" s="146">
        <f t="shared" si="2"/>
        <v>1466.6666666666665</v>
      </c>
      <c r="S55" s="134"/>
      <c r="T55" s="138">
        <f t="shared" si="3"/>
        <v>0</v>
      </c>
    </row>
    <row r="56" spans="1:20" ht="21">
      <c r="A56" s="117" t="s">
        <v>579</v>
      </c>
      <c r="B56" s="30" t="s">
        <v>606</v>
      </c>
      <c r="C56" s="31">
        <v>13</v>
      </c>
      <c r="D56" s="31">
        <v>1.25</v>
      </c>
      <c r="E56" s="31">
        <v>8</v>
      </c>
      <c r="F56" s="27">
        <f t="shared" si="7"/>
        <v>17600</v>
      </c>
      <c r="G56" s="57">
        <v>1650</v>
      </c>
      <c r="H56" s="57">
        <f t="shared" si="4"/>
        <v>2200</v>
      </c>
      <c r="I56" s="25">
        <v>0.03</v>
      </c>
      <c r="J56" s="25">
        <v>11.5</v>
      </c>
      <c r="K56" s="162">
        <f t="shared" si="5"/>
        <v>0</v>
      </c>
      <c r="L56" s="162">
        <f t="shared" si="6"/>
        <v>0</v>
      </c>
      <c r="M56" s="101"/>
      <c r="N56" s="29" t="s">
        <v>562</v>
      </c>
      <c r="O56" s="126" t="s">
        <v>845</v>
      </c>
      <c r="P56" s="235" t="s">
        <v>864</v>
      </c>
      <c r="Q56" s="146">
        <f t="shared" si="1"/>
        <v>17600</v>
      </c>
      <c r="R56" s="146">
        <f t="shared" si="2"/>
        <v>2200</v>
      </c>
      <c r="S56" s="134"/>
      <c r="T56" s="138">
        <f t="shared" si="3"/>
        <v>0</v>
      </c>
    </row>
    <row r="57" spans="1:20" ht="21">
      <c r="A57" s="117" t="s">
        <v>40</v>
      </c>
      <c r="B57" s="30" t="s">
        <v>563</v>
      </c>
      <c r="C57" s="31">
        <v>16</v>
      </c>
      <c r="D57" s="31">
        <v>1.25</v>
      </c>
      <c r="E57" s="31">
        <v>8</v>
      </c>
      <c r="F57" s="27">
        <f t="shared" si="7"/>
        <v>21440</v>
      </c>
      <c r="G57" s="57">
        <v>2010</v>
      </c>
      <c r="H57" s="57">
        <f t="shared" si="4"/>
        <v>2680</v>
      </c>
      <c r="I57" s="25">
        <v>3.5000000000000003E-2</v>
      </c>
      <c r="J57" s="168">
        <v>14.4</v>
      </c>
      <c r="K57" s="162">
        <f t="shared" si="5"/>
        <v>0</v>
      </c>
      <c r="L57" s="162">
        <f t="shared" si="6"/>
        <v>0</v>
      </c>
      <c r="M57" s="101"/>
      <c r="N57" s="29" t="s">
        <v>562</v>
      </c>
      <c r="O57" s="126" t="s">
        <v>845</v>
      </c>
      <c r="P57" s="235" t="s">
        <v>864</v>
      </c>
      <c r="Q57" s="146">
        <f t="shared" si="1"/>
        <v>21440</v>
      </c>
      <c r="R57" s="146">
        <f t="shared" si="2"/>
        <v>2680</v>
      </c>
      <c r="S57" s="134"/>
      <c r="T57" s="138">
        <f t="shared" si="3"/>
        <v>0</v>
      </c>
    </row>
    <row r="58" spans="1:20" ht="25.5">
      <c r="A58" s="117" t="s">
        <v>41</v>
      </c>
      <c r="B58" s="35" t="s">
        <v>744</v>
      </c>
      <c r="C58" s="31">
        <v>19</v>
      </c>
      <c r="D58" s="31">
        <v>1.25</v>
      </c>
      <c r="E58" s="31">
        <v>8</v>
      </c>
      <c r="F58" s="27">
        <f t="shared" si="7"/>
        <v>23893.333333333332</v>
      </c>
      <c r="G58" s="57">
        <v>2240</v>
      </c>
      <c r="H58" s="57">
        <f t="shared" si="4"/>
        <v>2986.6666666666665</v>
      </c>
      <c r="I58" s="25">
        <v>4.7E-2</v>
      </c>
      <c r="J58" s="25">
        <v>17</v>
      </c>
      <c r="K58" s="162">
        <f t="shared" si="5"/>
        <v>0</v>
      </c>
      <c r="L58" s="162">
        <f t="shared" si="6"/>
        <v>0</v>
      </c>
      <c r="M58" s="31" t="s">
        <v>20</v>
      </c>
      <c r="N58" s="29" t="s">
        <v>562</v>
      </c>
      <c r="O58" s="126" t="s">
        <v>845</v>
      </c>
      <c r="P58" s="232" t="s">
        <v>865</v>
      </c>
      <c r="Q58" s="146">
        <f t="shared" si="1"/>
        <v>23893.333333333332</v>
      </c>
      <c r="R58" s="146">
        <f t="shared" si="2"/>
        <v>2986.6666666666665</v>
      </c>
      <c r="S58" s="134"/>
      <c r="T58" s="138">
        <f t="shared" si="3"/>
        <v>0</v>
      </c>
    </row>
    <row r="59" spans="1:20" ht="21">
      <c r="A59" s="53" t="s">
        <v>42</v>
      </c>
      <c r="B59" s="26" t="s">
        <v>43</v>
      </c>
      <c r="C59" s="25">
        <v>19</v>
      </c>
      <c r="D59" s="25">
        <v>1.25</v>
      </c>
      <c r="E59" s="25">
        <v>8</v>
      </c>
      <c r="F59" s="27">
        <f t="shared" si="7"/>
        <v>26880</v>
      </c>
      <c r="G59" s="57">
        <v>2520</v>
      </c>
      <c r="H59" s="57">
        <f t="shared" si="4"/>
        <v>3360</v>
      </c>
      <c r="I59" s="167">
        <v>6.0999999999999999E-2</v>
      </c>
      <c r="J59" s="168">
        <v>21.2</v>
      </c>
      <c r="K59" s="162">
        <f t="shared" si="5"/>
        <v>0</v>
      </c>
      <c r="L59" s="162">
        <f t="shared" si="6"/>
        <v>0</v>
      </c>
      <c r="M59" s="25"/>
      <c r="N59" s="29" t="s">
        <v>562</v>
      </c>
      <c r="O59" s="126" t="s">
        <v>845</v>
      </c>
      <c r="P59" s="235" t="s">
        <v>864</v>
      </c>
      <c r="Q59" s="146">
        <f t="shared" si="1"/>
        <v>26880</v>
      </c>
      <c r="R59" s="146">
        <f t="shared" si="2"/>
        <v>3360</v>
      </c>
      <c r="S59" s="134"/>
      <c r="T59" s="138">
        <f t="shared" si="3"/>
        <v>0</v>
      </c>
    </row>
    <row r="60" spans="1:20">
      <c r="A60" s="53" t="s">
        <v>580</v>
      </c>
      <c r="B60" s="26" t="s">
        <v>624</v>
      </c>
      <c r="C60" s="25">
        <v>19</v>
      </c>
      <c r="D60" s="25">
        <v>1.25</v>
      </c>
      <c r="E60" s="25">
        <v>6</v>
      </c>
      <c r="F60" s="27">
        <f t="shared" si="7"/>
        <v>21600</v>
      </c>
      <c r="G60" s="57">
        <v>3030</v>
      </c>
      <c r="H60" s="57">
        <v>3600</v>
      </c>
      <c r="I60" s="167">
        <v>5.2999999999999999E-2</v>
      </c>
      <c r="J60" s="168">
        <v>15.9</v>
      </c>
      <c r="K60" s="162">
        <f t="shared" si="5"/>
        <v>0</v>
      </c>
      <c r="L60" s="162">
        <f t="shared" si="6"/>
        <v>0</v>
      </c>
      <c r="M60" s="25" t="s">
        <v>620</v>
      </c>
      <c r="N60" s="29" t="s">
        <v>562</v>
      </c>
      <c r="O60" s="29"/>
      <c r="P60" s="232" t="s">
        <v>863</v>
      </c>
      <c r="Q60" s="146">
        <f t="shared" si="1"/>
        <v>21600</v>
      </c>
      <c r="R60" s="146">
        <f t="shared" si="2"/>
        <v>3600</v>
      </c>
      <c r="S60" s="134"/>
      <c r="T60" s="138">
        <f t="shared" si="3"/>
        <v>0</v>
      </c>
    </row>
    <row r="61" spans="1:20" ht="21">
      <c r="A61" s="53" t="s">
        <v>44</v>
      </c>
      <c r="B61" s="26" t="s">
        <v>45</v>
      </c>
      <c r="C61" s="25">
        <v>25</v>
      </c>
      <c r="D61" s="25">
        <v>1.25</v>
      </c>
      <c r="E61" s="25">
        <v>4</v>
      </c>
      <c r="F61" s="27">
        <f t="shared" si="7"/>
        <v>16800</v>
      </c>
      <c r="G61" s="57">
        <v>2990</v>
      </c>
      <c r="H61" s="57">
        <v>4200</v>
      </c>
      <c r="I61" s="167">
        <v>3.5999999999999997E-2</v>
      </c>
      <c r="J61" s="168">
        <v>14.3</v>
      </c>
      <c r="K61" s="162">
        <f t="shared" si="5"/>
        <v>0</v>
      </c>
      <c r="L61" s="162">
        <f t="shared" si="6"/>
        <v>0</v>
      </c>
      <c r="M61" s="25" t="s">
        <v>20</v>
      </c>
      <c r="N61" s="29" t="s">
        <v>562</v>
      </c>
      <c r="O61" s="126" t="s">
        <v>845</v>
      </c>
      <c r="P61" s="235" t="s">
        <v>864</v>
      </c>
      <c r="Q61" s="146">
        <f t="shared" si="1"/>
        <v>16800</v>
      </c>
      <c r="R61" s="146">
        <f t="shared" si="2"/>
        <v>4200</v>
      </c>
      <c r="S61" s="134"/>
      <c r="T61" s="138">
        <f t="shared" si="3"/>
        <v>0</v>
      </c>
    </row>
    <row r="62" spans="1:20">
      <c r="A62" s="53" t="s">
        <v>581</v>
      </c>
      <c r="B62" s="26" t="s">
        <v>607</v>
      </c>
      <c r="C62" s="25">
        <v>36</v>
      </c>
      <c r="D62" s="25">
        <v>1.25</v>
      </c>
      <c r="E62" s="25">
        <v>4</v>
      </c>
      <c r="F62" s="27">
        <f t="shared" si="7"/>
        <v>27253.333333333336</v>
      </c>
      <c r="G62" s="57">
        <v>5110</v>
      </c>
      <c r="H62" s="57">
        <f t="shared" si="4"/>
        <v>6813.3333333333339</v>
      </c>
      <c r="I62" s="167">
        <v>0.05</v>
      </c>
      <c r="J62" s="168">
        <v>18</v>
      </c>
      <c r="K62" s="162">
        <f t="shared" si="5"/>
        <v>0</v>
      </c>
      <c r="L62" s="162">
        <f t="shared" si="6"/>
        <v>0</v>
      </c>
      <c r="M62" s="25"/>
      <c r="N62" s="29" t="s">
        <v>562</v>
      </c>
      <c r="O62" s="29"/>
      <c r="P62" s="235" t="s">
        <v>864</v>
      </c>
      <c r="Q62" s="146">
        <f t="shared" si="1"/>
        <v>27253.333333333336</v>
      </c>
      <c r="R62" s="146">
        <f t="shared" si="2"/>
        <v>6813.3333333333339</v>
      </c>
      <c r="S62" s="134"/>
      <c r="T62" s="138">
        <f t="shared" si="3"/>
        <v>0</v>
      </c>
    </row>
    <row r="63" spans="1:20" ht="21">
      <c r="A63" s="53" t="s">
        <v>46</v>
      </c>
      <c r="B63" s="26" t="s">
        <v>558</v>
      </c>
      <c r="C63" s="25">
        <v>49</v>
      </c>
      <c r="D63" s="25">
        <v>1.25</v>
      </c>
      <c r="E63" s="25">
        <v>2</v>
      </c>
      <c r="F63" s="27">
        <f t="shared" si="7"/>
        <v>15000</v>
      </c>
      <c r="G63" s="57">
        <v>6870</v>
      </c>
      <c r="H63" s="57">
        <v>7500</v>
      </c>
      <c r="I63" s="167">
        <v>3.4000000000000002E-2</v>
      </c>
      <c r="J63" s="168">
        <v>13.3</v>
      </c>
      <c r="K63" s="162">
        <f t="shared" si="5"/>
        <v>0</v>
      </c>
      <c r="L63" s="162">
        <f t="shared" si="6"/>
        <v>0</v>
      </c>
      <c r="M63" s="113"/>
      <c r="N63" s="29" t="s">
        <v>562</v>
      </c>
      <c r="O63" s="126" t="s">
        <v>845</v>
      </c>
      <c r="P63" s="235" t="s">
        <v>864</v>
      </c>
      <c r="Q63" s="146">
        <f t="shared" si="1"/>
        <v>15000</v>
      </c>
      <c r="R63" s="146">
        <f t="shared" si="2"/>
        <v>7500</v>
      </c>
      <c r="S63" s="134"/>
      <c r="T63" s="138">
        <f t="shared" si="3"/>
        <v>0</v>
      </c>
    </row>
    <row r="64" spans="1:20">
      <c r="A64" s="53" t="s">
        <v>582</v>
      </c>
      <c r="B64" s="26" t="s">
        <v>608</v>
      </c>
      <c r="C64" s="25">
        <v>49</v>
      </c>
      <c r="D64" s="25">
        <v>1.25</v>
      </c>
      <c r="E64" s="25">
        <v>2</v>
      </c>
      <c r="F64" s="27">
        <f t="shared" si="7"/>
        <v>16400</v>
      </c>
      <c r="G64" s="57">
        <v>6790</v>
      </c>
      <c r="H64" s="57">
        <v>8200</v>
      </c>
      <c r="I64" s="167">
        <v>3.5000000000000003E-2</v>
      </c>
      <c r="J64" s="168">
        <v>12.8</v>
      </c>
      <c r="K64" s="162">
        <f t="shared" si="5"/>
        <v>0</v>
      </c>
      <c r="L64" s="162">
        <f t="shared" si="6"/>
        <v>0</v>
      </c>
      <c r="M64" s="25" t="s">
        <v>128</v>
      </c>
      <c r="N64" s="29" t="s">
        <v>562</v>
      </c>
      <c r="O64" s="29"/>
      <c r="P64" s="232" t="s">
        <v>863</v>
      </c>
      <c r="Q64" s="146">
        <f t="shared" si="1"/>
        <v>16400</v>
      </c>
      <c r="R64" s="146">
        <f t="shared" si="2"/>
        <v>8200</v>
      </c>
      <c r="S64" s="134"/>
      <c r="T64" s="138">
        <f t="shared" si="3"/>
        <v>0</v>
      </c>
    </row>
    <row r="65" spans="1:20" ht="25.5">
      <c r="A65" s="53" t="s">
        <v>47</v>
      </c>
      <c r="B65" s="26" t="s">
        <v>48</v>
      </c>
      <c r="C65" s="25">
        <v>80</v>
      </c>
      <c r="D65" s="25">
        <v>1.25</v>
      </c>
      <c r="E65" s="25">
        <v>1</v>
      </c>
      <c r="F65" s="27">
        <f t="shared" si="7"/>
        <v>14000</v>
      </c>
      <c r="G65" s="57">
        <v>10500</v>
      </c>
      <c r="H65" s="57">
        <f t="shared" si="4"/>
        <v>14000</v>
      </c>
      <c r="I65" s="25">
        <v>2.8000000000000001E-2</v>
      </c>
      <c r="J65" s="25">
        <v>10.3</v>
      </c>
      <c r="K65" s="162">
        <f t="shared" si="5"/>
        <v>0</v>
      </c>
      <c r="L65" s="162">
        <f t="shared" si="6"/>
        <v>0</v>
      </c>
      <c r="M65" s="113"/>
      <c r="N65" s="29" t="s">
        <v>562</v>
      </c>
      <c r="O65" s="126" t="s">
        <v>845</v>
      </c>
      <c r="P65" s="232" t="s">
        <v>865</v>
      </c>
      <c r="Q65" s="146">
        <f t="shared" si="1"/>
        <v>14000</v>
      </c>
      <c r="R65" s="146">
        <f t="shared" si="2"/>
        <v>14000</v>
      </c>
      <c r="S65" s="134"/>
      <c r="T65" s="138">
        <f t="shared" si="3"/>
        <v>0</v>
      </c>
    </row>
    <row r="66" spans="1:20" hidden="1">
      <c r="A66" s="53" t="s">
        <v>49</v>
      </c>
      <c r="B66" s="26" t="s">
        <v>50</v>
      </c>
      <c r="C66" s="25">
        <v>100</v>
      </c>
      <c r="D66" s="25">
        <v>1.25</v>
      </c>
      <c r="E66" s="25">
        <v>1</v>
      </c>
      <c r="F66" s="27">
        <f t="shared" si="7"/>
        <v>18200</v>
      </c>
      <c r="G66" s="57">
        <v>13650</v>
      </c>
      <c r="H66" s="57">
        <f t="shared" si="4"/>
        <v>18200</v>
      </c>
      <c r="I66" s="57"/>
      <c r="J66" s="57"/>
      <c r="K66" s="162">
        <f t="shared" si="5"/>
        <v>0</v>
      </c>
      <c r="L66" s="162">
        <f t="shared" si="6"/>
        <v>0</v>
      </c>
      <c r="M66" s="113"/>
      <c r="N66" s="29" t="s">
        <v>562</v>
      </c>
      <c r="O66" s="29"/>
      <c r="P66" s="97" t="s">
        <v>490</v>
      </c>
      <c r="Q66" s="146">
        <f t="shared" si="1"/>
        <v>18200</v>
      </c>
      <c r="R66" s="146">
        <f t="shared" si="2"/>
        <v>18200</v>
      </c>
      <c r="S66" s="134"/>
      <c r="T66" s="138">
        <f t="shared" si="3"/>
        <v>0</v>
      </c>
    </row>
    <row r="67" spans="1:20" ht="25.5">
      <c r="A67" s="53" t="s">
        <v>583</v>
      </c>
      <c r="B67" s="26" t="s">
        <v>609</v>
      </c>
      <c r="C67" s="25">
        <v>100</v>
      </c>
      <c r="D67" s="25">
        <v>1.25</v>
      </c>
      <c r="E67" s="25">
        <v>1</v>
      </c>
      <c r="F67" s="27">
        <f t="shared" si="7"/>
        <v>16700</v>
      </c>
      <c r="G67" s="57">
        <v>13090</v>
      </c>
      <c r="H67" s="57">
        <v>16700</v>
      </c>
      <c r="I67" s="25">
        <v>3.5999999999999997E-2</v>
      </c>
      <c r="J67" s="25">
        <v>13.7</v>
      </c>
      <c r="K67" s="162">
        <f t="shared" si="5"/>
        <v>0</v>
      </c>
      <c r="L67" s="162">
        <f t="shared" si="6"/>
        <v>0</v>
      </c>
      <c r="M67" s="113"/>
      <c r="N67" s="29" t="s">
        <v>562</v>
      </c>
      <c r="O67" s="29"/>
      <c r="P67" s="232" t="s">
        <v>865</v>
      </c>
      <c r="Q67" s="146">
        <f t="shared" si="1"/>
        <v>16700</v>
      </c>
      <c r="R67" s="146">
        <f t="shared" si="2"/>
        <v>16700</v>
      </c>
      <c r="S67" s="134"/>
      <c r="T67" s="138">
        <f t="shared" si="3"/>
        <v>0</v>
      </c>
    </row>
    <row r="68" spans="1:20" ht="25.5">
      <c r="A68" s="53" t="s">
        <v>771</v>
      </c>
      <c r="B68" s="54" t="s">
        <v>805</v>
      </c>
      <c r="C68" s="25">
        <v>100</v>
      </c>
      <c r="D68" s="25">
        <v>1.25</v>
      </c>
      <c r="E68" s="25">
        <v>1</v>
      </c>
      <c r="F68" s="27">
        <f t="shared" si="7"/>
        <v>16700</v>
      </c>
      <c r="G68" s="57">
        <v>18200</v>
      </c>
      <c r="H68" s="57">
        <v>16700</v>
      </c>
      <c r="I68" s="25">
        <v>3.4000000000000002E-2</v>
      </c>
      <c r="J68" s="25">
        <v>12.2</v>
      </c>
      <c r="K68" s="162">
        <f t="shared" si="5"/>
        <v>0</v>
      </c>
      <c r="L68" s="162">
        <f t="shared" si="6"/>
        <v>0</v>
      </c>
      <c r="M68" s="113"/>
      <c r="N68" s="29" t="s">
        <v>562</v>
      </c>
      <c r="O68" s="126" t="s">
        <v>845</v>
      </c>
      <c r="P68" s="232" t="s">
        <v>865</v>
      </c>
      <c r="Q68" s="146">
        <f t="shared" si="1"/>
        <v>16700</v>
      </c>
      <c r="R68" s="146">
        <f t="shared" si="2"/>
        <v>16700</v>
      </c>
      <c r="S68" s="134"/>
      <c r="T68" s="138">
        <f t="shared" si="3"/>
        <v>0</v>
      </c>
    </row>
    <row r="69" spans="1:20" hidden="1">
      <c r="A69" s="53" t="s">
        <v>635</v>
      </c>
      <c r="B69" s="67" t="s">
        <v>676</v>
      </c>
      <c r="C69" s="25">
        <v>150</v>
      </c>
      <c r="D69" s="25">
        <v>1.25</v>
      </c>
      <c r="E69" s="25">
        <v>1</v>
      </c>
      <c r="F69" s="27">
        <f t="shared" si="7"/>
        <v>24900</v>
      </c>
      <c r="G69" s="219">
        <v>19900</v>
      </c>
      <c r="H69" s="57">
        <v>24900</v>
      </c>
      <c r="I69" s="25">
        <v>5.0999999999999997E-2</v>
      </c>
      <c r="J69" s="25">
        <v>20.5</v>
      </c>
      <c r="K69" s="162">
        <f t="shared" si="5"/>
        <v>0</v>
      </c>
      <c r="L69" s="162">
        <f t="shared" si="6"/>
        <v>0</v>
      </c>
      <c r="M69" s="113"/>
      <c r="N69" s="29" t="s">
        <v>562</v>
      </c>
      <c r="O69" s="29"/>
      <c r="P69" s="97" t="s">
        <v>490</v>
      </c>
      <c r="Q69" s="146">
        <f t="shared" si="1"/>
        <v>24900</v>
      </c>
      <c r="R69" s="146">
        <f t="shared" si="2"/>
        <v>24900</v>
      </c>
      <c r="S69" s="134"/>
      <c r="T69" s="138">
        <f t="shared" si="3"/>
        <v>0</v>
      </c>
    </row>
    <row r="70" spans="1:20" ht="21">
      <c r="A70" s="117" t="s">
        <v>584</v>
      </c>
      <c r="B70" s="30" t="s">
        <v>610</v>
      </c>
      <c r="C70" s="31">
        <v>34</v>
      </c>
      <c r="D70" s="31" t="s">
        <v>594</v>
      </c>
      <c r="E70" s="31">
        <v>9</v>
      </c>
      <c r="F70" s="27">
        <f t="shared" si="7"/>
        <v>27000</v>
      </c>
      <c r="G70" s="57">
        <v>2250</v>
      </c>
      <c r="H70" s="57">
        <f t="shared" si="4"/>
        <v>3000</v>
      </c>
      <c r="I70" s="25">
        <v>0.04</v>
      </c>
      <c r="J70" s="25">
        <v>16.2</v>
      </c>
      <c r="K70" s="162">
        <f t="shared" si="5"/>
        <v>0</v>
      </c>
      <c r="L70" s="162">
        <f t="shared" si="6"/>
        <v>0</v>
      </c>
      <c r="M70" s="101"/>
      <c r="N70" s="29" t="s">
        <v>562</v>
      </c>
      <c r="O70" s="126" t="s">
        <v>845</v>
      </c>
      <c r="P70" s="232" t="s">
        <v>863</v>
      </c>
      <c r="Q70" s="146">
        <f t="shared" si="1"/>
        <v>27000</v>
      </c>
      <c r="R70" s="146">
        <f t="shared" si="2"/>
        <v>3000</v>
      </c>
      <c r="S70" s="134"/>
      <c r="T70" s="138">
        <f t="shared" si="3"/>
        <v>0</v>
      </c>
    </row>
    <row r="71" spans="1:20" ht="25.5">
      <c r="A71" s="117" t="s">
        <v>585</v>
      </c>
      <c r="B71" s="30" t="s">
        <v>849</v>
      </c>
      <c r="C71" s="31">
        <v>48</v>
      </c>
      <c r="D71" s="31" t="s">
        <v>53</v>
      </c>
      <c r="E71" s="31">
        <v>6</v>
      </c>
      <c r="F71" s="27">
        <f t="shared" si="7"/>
        <v>38640.000000000007</v>
      </c>
      <c r="G71" s="57">
        <v>4830</v>
      </c>
      <c r="H71" s="57">
        <f>G71/75*100</f>
        <v>6440.0000000000009</v>
      </c>
      <c r="I71" s="25">
        <v>5.8000000000000003E-2</v>
      </c>
      <c r="J71" s="25">
        <v>22.9</v>
      </c>
      <c r="K71" s="162">
        <f>I71*S71</f>
        <v>0</v>
      </c>
      <c r="L71" s="162">
        <f>J71*S71</f>
        <v>0</v>
      </c>
      <c r="M71" s="101"/>
      <c r="N71" s="29" t="s">
        <v>562</v>
      </c>
      <c r="O71" s="126" t="s">
        <v>845</v>
      </c>
      <c r="P71" s="232" t="s">
        <v>863</v>
      </c>
      <c r="Q71" s="146">
        <f>F71*(1-$Q$10)</f>
        <v>38640.000000000007</v>
      </c>
      <c r="R71" s="146">
        <f>H71*(1-$Q$10)</f>
        <v>6440.0000000000009</v>
      </c>
      <c r="S71" s="134"/>
      <c r="T71" s="138">
        <f>S71*Q71</f>
        <v>0</v>
      </c>
    </row>
    <row r="72" spans="1:20" ht="25.5">
      <c r="A72" s="53" t="s">
        <v>686</v>
      </c>
      <c r="B72" s="94" t="s">
        <v>766</v>
      </c>
      <c r="C72" s="25">
        <v>74</v>
      </c>
      <c r="D72" s="25" t="s">
        <v>687</v>
      </c>
      <c r="E72" s="25">
        <v>2</v>
      </c>
      <c r="F72" s="27">
        <f t="shared" si="7"/>
        <v>19546</v>
      </c>
      <c r="G72" s="57">
        <v>7330</v>
      </c>
      <c r="H72" s="57">
        <v>9773</v>
      </c>
      <c r="I72" s="25">
        <v>4.7E-2</v>
      </c>
      <c r="J72" s="25">
        <v>15</v>
      </c>
      <c r="K72" s="162">
        <f t="shared" si="5"/>
        <v>0</v>
      </c>
      <c r="L72" s="162">
        <f t="shared" si="6"/>
        <v>0</v>
      </c>
      <c r="M72" s="101"/>
      <c r="N72" s="29" t="s">
        <v>562</v>
      </c>
      <c r="O72" s="126" t="s">
        <v>845</v>
      </c>
      <c r="P72" s="232" t="s">
        <v>865</v>
      </c>
      <c r="Q72" s="146">
        <f t="shared" si="1"/>
        <v>19546</v>
      </c>
      <c r="R72" s="146">
        <f t="shared" si="2"/>
        <v>9773</v>
      </c>
      <c r="S72" s="134"/>
      <c r="T72" s="138">
        <f t="shared" si="3"/>
        <v>0</v>
      </c>
    </row>
    <row r="73" spans="1:20" ht="25.5">
      <c r="A73" s="53" t="s">
        <v>51</v>
      </c>
      <c r="B73" s="26" t="s">
        <v>52</v>
      </c>
      <c r="C73" s="25">
        <v>88</v>
      </c>
      <c r="D73" s="25" t="s">
        <v>53</v>
      </c>
      <c r="E73" s="25">
        <v>2</v>
      </c>
      <c r="F73" s="27">
        <f t="shared" si="7"/>
        <v>27893.333333333332</v>
      </c>
      <c r="G73" s="57">
        <v>10460</v>
      </c>
      <c r="H73" s="57">
        <f t="shared" si="4"/>
        <v>13946.666666666666</v>
      </c>
      <c r="I73" s="167">
        <v>0.05</v>
      </c>
      <c r="J73" s="168">
        <v>18.399999999999999</v>
      </c>
      <c r="K73" s="162">
        <f t="shared" si="5"/>
        <v>0</v>
      </c>
      <c r="L73" s="162">
        <f t="shared" si="6"/>
        <v>0</v>
      </c>
      <c r="M73" s="111"/>
      <c r="N73" s="29" t="s">
        <v>562</v>
      </c>
      <c r="O73" s="126" t="s">
        <v>845</v>
      </c>
      <c r="P73" s="232" t="s">
        <v>863</v>
      </c>
      <c r="Q73" s="146">
        <f t="shared" si="1"/>
        <v>27893.333333333332</v>
      </c>
      <c r="R73" s="146">
        <f t="shared" si="2"/>
        <v>13946.666666666666</v>
      </c>
      <c r="S73" s="134"/>
      <c r="T73" s="138">
        <f t="shared" si="3"/>
        <v>0</v>
      </c>
    </row>
    <row r="74" spans="1:20" ht="25.5">
      <c r="A74" s="53" t="s">
        <v>54</v>
      </c>
      <c r="B74" s="26" t="s">
        <v>55</v>
      </c>
      <c r="C74" s="25">
        <v>69</v>
      </c>
      <c r="D74" s="25" t="s">
        <v>56</v>
      </c>
      <c r="E74" s="25">
        <v>2</v>
      </c>
      <c r="F74" s="27">
        <f t="shared" si="7"/>
        <v>15866.666666666666</v>
      </c>
      <c r="G74" s="57">
        <v>5950</v>
      </c>
      <c r="H74" s="57">
        <f t="shared" si="4"/>
        <v>7933.333333333333</v>
      </c>
      <c r="I74" s="25">
        <v>2.5000000000000001E-2</v>
      </c>
      <c r="J74" s="25">
        <v>10.3</v>
      </c>
      <c r="K74" s="162">
        <f t="shared" si="5"/>
        <v>0</v>
      </c>
      <c r="L74" s="162">
        <f t="shared" si="6"/>
        <v>0</v>
      </c>
      <c r="M74" s="111"/>
      <c r="N74" s="29" t="s">
        <v>562</v>
      </c>
      <c r="O74" s="126" t="s">
        <v>845</v>
      </c>
      <c r="P74" s="232" t="s">
        <v>863</v>
      </c>
      <c r="Q74" s="146">
        <f t="shared" si="1"/>
        <v>15866.666666666666</v>
      </c>
      <c r="R74" s="146">
        <f t="shared" si="2"/>
        <v>7933.333333333333</v>
      </c>
      <c r="S74" s="134"/>
      <c r="T74" s="138">
        <f t="shared" si="3"/>
        <v>0</v>
      </c>
    </row>
    <row r="75" spans="1:20" ht="38.25">
      <c r="A75" s="53" t="s">
        <v>806</v>
      </c>
      <c r="B75" s="67" t="s">
        <v>677</v>
      </c>
      <c r="C75" s="25">
        <v>86</v>
      </c>
      <c r="D75" s="25" t="s">
        <v>701</v>
      </c>
      <c r="E75" s="25">
        <v>2</v>
      </c>
      <c r="F75" s="27">
        <f t="shared" si="7"/>
        <v>29800</v>
      </c>
      <c r="G75" s="57">
        <v>16000</v>
      </c>
      <c r="H75" s="57">
        <v>14900</v>
      </c>
      <c r="I75" s="25">
        <v>5.5E-2</v>
      </c>
      <c r="J75" s="25">
        <v>19.7</v>
      </c>
      <c r="K75" s="162">
        <f t="shared" si="5"/>
        <v>0</v>
      </c>
      <c r="L75" s="162">
        <f t="shared" si="6"/>
        <v>0</v>
      </c>
      <c r="M75" s="111"/>
      <c r="N75" s="29" t="s">
        <v>562</v>
      </c>
      <c r="O75" s="126" t="s">
        <v>845</v>
      </c>
      <c r="P75" s="232" t="s">
        <v>863</v>
      </c>
      <c r="Q75" s="146">
        <f t="shared" si="1"/>
        <v>29800</v>
      </c>
      <c r="R75" s="146">
        <f t="shared" si="2"/>
        <v>14900</v>
      </c>
      <c r="S75" s="134"/>
      <c r="T75" s="138">
        <f t="shared" si="3"/>
        <v>0</v>
      </c>
    </row>
    <row r="76" spans="1:20" ht="25.5">
      <c r="A76" s="53" t="s">
        <v>586</v>
      </c>
      <c r="B76" s="26" t="s">
        <v>611</v>
      </c>
      <c r="C76" s="25">
        <v>100</v>
      </c>
      <c r="D76" s="25" t="s">
        <v>53</v>
      </c>
      <c r="E76" s="25">
        <v>2</v>
      </c>
      <c r="F76" s="27">
        <f t="shared" si="7"/>
        <v>21653.333333333332</v>
      </c>
      <c r="G76" s="57">
        <v>8120</v>
      </c>
      <c r="H76" s="57">
        <f t="shared" si="4"/>
        <v>10826.666666666666</v>
      </c>
      <c r="I76" s="25">
        <v>3.5000000000000003E-2</v>
      </c>
      <c r="J76" s="25">
        <v>13.5</v>
      </c>
      <c r="K76" s="162">
        <f t="shared" si="5"/>
        <v>0</v>
      </c>
      <c r="L76" s="162">
        <f t="shared" si="6"/>
        <v>0</v>
      </c>
      <c r="M76" s="111"/>
      <c r="N76" s="29" t="s">
        <v>562</v>
      </c>
      <c r="O76" s="126" t="s">
        <v>845</v>
      </c>
      <c r="P76" s="232" t="s">
        <v>865</v>
      </c>
      <c r="Q76" s="146">
        <f t="shared" si="1"/>
        <v>21653.333333333332</v>
      </c>
      <c r="R76" s="146">
        <f t="shared" si="2"/>
        <v>10826.666666666666</v>
      </c>
      <c r="S76" s="134"/>
      <c r="T76" s="138">
        <f t="shared" si="3"/>
        <v>0</v>
      </c>
    </row>
    <row r="77" spans="1:20" ht="25.5">
      <c r="A77" s="53" t="s">
        <v>772</v>
      </c>
      <c r="B77" s="54" t="s">
        <v>808</v>
      </c>
      <c r="C77" s="25">
        <v>60</v>
      </c>
      <c r="D77" s="25" t="s">
        <v>773</v>
      </c>
      <c r="E77" s="25">
        <v>2</v>
      </c>
      <c r="F77" s="27">
        <f t="shared" ref="F77:F84" si="8">H77*E77</f>
        <v>19000</v>
      </c>
      <c r="G77" s="57">
        <v>7180</v>
      </c>
      <c r="H77" s="57">
        <v>9500</v>
      </c>
      <c r="I77" s="167">
        <v>3.5999999999999997E-2</v>
      </c>
      <c r="J77" s="168">
        <v>13.8</v>
      </c>
      <c r="K77" s="162">
        <f t="shared" si="5"/>
        <v>0</v>
      </c>
      <c r="L77" s="162">
        <f t="shared" si="6"/>
        <v>0</v>
      </c>
      <c r="M77" s="111"/>
      <c r="N77" s="29" t="s">
        <v>562</v>
      </c>
      <c r="O77" s="29"/>
      <c r="P77" s="232" t="s">
        <v>863</v>
      </c>
      <c r="Q77" s="146">
        <f t="shared" si="1"/>
        <v>19000</v>
      </c>
      <c r="R77" s="146">
        <f t="shared" si="2"/>
        <v>9500</v>
      </c>
      <c r="S77" s="134"/>
      <c r="T77" s="138">
        <f t="shared" si="3"/>
        <v>0</v>
      </c>
    </row>
    <row r="78" spans="1:20" ht="25.5">
      <c r="A78" s="53" t="s">
        <v>636</v>
      </c>
      <c r="B78" s="54" t="s">
        <v>678</v>
      </c>
      <c r="C78" s="25">
        <v>150</v>
      </c>
      <c r="D78" s="25" t="s">
        <v>56</v>
      </c>
      <c r="E78" s="25">
        <v>1</v>
      </c>
      <c r="F78" s="27">
        <f t="shared" si="8"/>
        <v>18900</v>
      </c>
      <c r="G78" s="57">
        <v>15890</v>
      </c>
      <c r="H78" s="57">
        <v>18900</v>
      </c>
      <c r="I78" s="25">
        <v>3.5000000000000003E-2</v>
      </c>
      <c r="J78" s="25">
        <v>12</v>
      </c>
      <c r="K78" s="162">
        <f t="shared" si="5"/>
        <v>0</v>
      </c>
      <c r="L78" s="162">
        <f t="shared" si="6"/>
        <v>0</v>
      </c>
      <c r="M78" s="111"/>
      <c r="N78" s="29" t="s">
        <v>562</v>
      </c>
      <c r="O78" s="29"/>
      <c r="P78" s="232" t="s">
        <v>863</v>
      </c>
      <c r="Q78" s="146">
        <f t="shared" ref="Q78:Q84" si="9">F78*(1-$Q$10)</f>
        <v>18900</v>
      </c>
      <c r="R78" s="146">
        <f t="shared" ref="R78:R84" si="10">H78*(1-$Q$10)</f>
        <v>18900</v>
      </c>
      <c r="S78" s="134"/>
      <c r="T78" s="138">
        <f t="shared" ref="T78:T96" si="11">S78*Q78</f>
        <v>0</v>
      </c>
    </row>
    <row r="79" spans="1:20" ht="25.5">
      <c r="A79" s="53" t="s">
        <v>688</v>
      </c>
      <c r="B79" s="94" t="s">
        <v>767</v>
      </c>
      <c r="C79" s="25">
        <v>136</v>
      </c>
      <c r="D79" s="25" t="s">
        <v>56</v>
      </c>
      <c r="E79" s="25">
        <v>1</v>
      </c>
      <c r="F79" s="27">
        <f t="shared" si="8"/>
        <v>17133.333333333336</v>
      </c>
      <c r="G79" s="57">
        <v>12850</v>
      </c>
      <c r="H79" s="57">
        <f t="shared" ref="H79:H84" si="12">G79/75*100</f>
        <v>17133.333333333336</v>
      </c>
      <c r="I79" s="25">
        <v>0.04</v>
      </c>
      <c r="J79" s="25">
        <v>12.2</v>
      </c>
      <c r="K79" s="162">
        <f t="shared" ref="K79:K84" si="13">I79*S79</f>
        <v>0</v>
      </c>
      <c r="L79" s="162">
        <f t="shared" ref="L79:L84" si="14">J79*S79</f>
        <v>0</v>
      </c>
      <c r="M79" s="101"/>
      <c r="N79" s="29" t="s">
        <v>562</v>
      </c>
      <c r="O79" s="126" t="s">
        <v>845</v>
      </c>
      <c r="P79" s="232" t="s">
        <v>863</v>
      </c>
      <c r="Q79" s="146">
        <f t="shared" si="9"/>
        <v>17133.333333333336</v>
      </c>
      <c r="R79" s="146">
        <f t="shared" si="10"/>
        <v>17133.333333333336</v>
      </c>
      <c r="S79" s="134"/>
      <c r="T79" s="138">
        <f t="shared" si="11"/>
        <v>0</v>
      </c>
    </row>
    <row r="80" spans="1:20" ht="25.5" hidden="1">
      <c r="A80" s="53" t="s">
        <v>637</v>
      </c>
      <c r="B80" s="54" t="s">
        <v>679</v>
      </c>
      <c r="C80" s="25">
        <v>220</v>
      </c>
      <c r="D80" s="25" t="s">
        <v>56</v>
      </c>
      <c r="E80" s="25">
        <v>1</v>
      </c>
      <c r="F80" s="27">
        <f t="shared" si="8"/>
        <v>30853.333333333336</v>
      </c>
      <c r="G80" s="57">
        <v>23140</v>
      </c>
      <c r="H80" s="57">
        <f t="shared" si="12"/>
        <v>30853.333333333336</v>
      </c>
      <c r="I80" s="57"/>
      <c r="J80" s="57"/>
      <c r="K80" s="162">
        <f t="shared" si="13"/>
        <v>0</v>
      </c>
      <c r="L80" s="162">
        <f t="shared" si="14"/>
        <v>0</v>
      </c>
      <c r="M80" s="111"/>
      <c r="N80" s="29" t="s">
        <v>562</v>
      </c>
      <c r="O80" s="29"/>
      <c r="P80" s="97" t="s">
        <v>490</v>
      </c>
      <c r="Q80" s="146">
        <f t="shared" si="9"/>
        <v>30853.333333333336</v>
      </c>
      <c r="R80" s="146">
        <f t="shared" si="10"/>
        <v>30853.333333333336</v>
      </c>
      <c r="S80" s="134"/>
      <c r="T80" s="138">
        <f t="shared" si="11"/>
        <v>0</v>
      </c>
    </row>
    <row r="81" spans="1:20">
      <c r="A81" s="117" t="s">
        <v>57</v>
      </c>
      <c r="B81" s="30" t="s">
        <v>58</v>
      </c>
      <c r="C81" s="31">
        <v>49</v>
      </c>
      <c r="D81" s="31" t="s">
        <v>59</v>
      </c>
      <c r="E81" s="31">
        <v>6</v>
      </c>
      <c r="F81" s="27">
        <f t="shared" si="8"/>
        <v>23400</v>
      </c>
      <c r="G81" s="57">
        <v>3520</v>
      </c>
      <c r="H81" s="57">
        <v>3900</v>
      </c>
      <c r="I81" s="57"/>
      <c r="J81" s="57"/>
      <c r="K81" s="162">
        <f t="shared" si="13"/>
        <v>0</v>
      </c>
      <c r="L81" s="162">
        <f t="shared" si="14"/>
        <v>0</v>
      </c>
      <c r="M81" s="25" t="s">
        <v>625</v>
      </c>
      <c r="N81" s="29" t="s">
        <v>562</v>
      </c>
      <c r="O81" s="29"/>
      <c r="P81" s="232" t="s">
        <v>863</v>
      </c>
      <c r="Q81" s="146">
        <f t="shared" si="9"/>
        <v>23400</v>
      </c>
      <c r="R81" s="146">
        <f t="shared" si="10"/>
        <v>3900</v>
      </c>
      <c r="S81" s="134"/>
      <c r="T81" s="138">
        <f t="shared" si="11"/>
        <v>0</v>
      </c>
    </row>
    <row r="82" spans="1:20" ht="25.5">
      <c r="A82" s="53" t="s">
        <v>60</v>
      </c>
      <c r="B82" s="26" t="s">
        <v>61</v>
      </c>
      <c r="C82" s="25">
        <v>25</v>
      </c>
      <c r="D82" s="25" t="s">
        <v>62</v>
      </c>
      <c r="E82" s="25">
        <v>6</v>
      </c>
      <c r="F82" s="27">
        <f t="shared" si="8"/>
        <v>17600</v>
      </c>
      <c r="G82" s="57">
        <v>2200</v>
      </c>
      <c r="H82" s="57">
        <f t="shared" si="12"/>
        <v>2933.333333333333</v>
      </c>
      <c r="I82" s="57"/>
      <c r="J82" s="57"/>
      <c r="K82" s="162">
        <f t="shared" si="13"/>
        <v>0</v>
      </c>
      <c r="L82" s="162">
        <f t="shared" si="14"/>
        <v>0</v>
      </c>
      <c r="M82" s="25" t="s">
        <v>625</v>
      </c>
      <c r="N82" s="29" t="s">
        <v>562</v>
      </c>
      <c r="O82" s="29"/>
      <c r="P82" s="232" t="s">
        <v>865</v>
      </c>
      <c r="Q82" s="146">
        <f t="shared" si="9"/>
        <v>17600</v>
      </c>
      <c r="R82" s="146">
        <f t="shared" si="10"/>
        <v>2933.333333333333</v>
      </c>
      <c r="S82" s="134"/>
      <c r="T82" s="138">
        <f t="shared" si="11"/>
        <v>0</v>
      </c>
    </row>
    <row r="83" spans="1:20" ht="21">
      <c r="A83" s="53" t="s">
        <v>63</v>
      </c>
      <c r="B83" s="26" t="s">
        <v>559</v>
      </c>
      <c r="C83" s="25">
        <v>49</v>
      </c>
      <c r="D83" s="25" t="s">
        <v>62</v>
      </c>
      <c r="E83" s="25">
        <v>3</v>
      </c>
      <c r="F83" s="27">
        <f t="shared" si="8"/>
        <v>18920</v>
      </c>
      <c r="G83" s="57">
        <v>4730</v>
      </c>
      <c r="H83" s="57">
        <f t="shared" si="12"/>
        <v>6306.666666666667</v>
      </c>
      <c r="I83" s="25">
        <v>4.8000000000000001E-2</v>
      </c>
      <c r="J83" s="168">
        <v>12.7</v>
      </c>
      <c r="K83" s="162">
        <f t="shared" si="13"/>
        <v>0</v>
      </c>
      <c r="L83" s="162">
        <f t="shared" si="14"/>
        <v>0</v>
      </c>
      <c r="M83" s="25" t="s">
        <v>625</v>
      </c>
      <c r="N83" s="29" t="s">
        <v>562</v>
      </c>
      <c r="O83" s="126" t="s">
        <v>845</v>
      </c>
      <c r="P83" s="232" t="s">
        <v>863</v>
      </c>
      <c r="Q83" s="146">
        <f t="shared" si="9"/>
        <v>18920</v>
      </c>
      <c r="R83" s="146">
        <f t="shared" si="10"/>
        <v>6306.666666666667</v>
      </c>
      <c r="S83" s="134"/>
      <c r="T83" s="138">
        <f t="shared" si="11"/>
        <v>0</v>
      </c>
    </row>
    <row r="84" spans="1:20" s="16" customFormat="1" ht="21">
      <c r="A84" s="53" t="s">
        <v>774</v>
      </c>
      <c r="B84" s="54" t="s">
        <v>807</v>
      </c>
      <c r="C84" s="25">
        <v>150</v>
      </c>
      <c r="D84" s="25" t="s">
        <v>62</v>
      </c>
      <c r="E84" s="25">
        <v>1</v>
      </c>
      <c r="F84" s="27">
        <f t="shared" si="8"/>
        <v>22080</v>
      </c>
      <c r="G84" s="57">
        <v>16560</v>
      </c>
      <c r="H84" s="57">
        <f t="shared" si="12"/>
        <v>22080</v>
      </c>
      <c r="I84" s="25">
        <v>4.9000000000000002E-2</v>
      </c>
      <c r="J84" s="25">
        <v>13.4</v>
      </c>
      <c r="K84" s="162">
        <f t="shared" si="13"/>
        <v>0</v>
      </c>
      <c r="L84" s="162">
        <f t="shared" si="14"/>
        <v>0</v>
      </c>
      <c r="M84" s="25" t="s">
        <v>625</v>
      </c>
      <c r="N84" s="126" t="s">
        <v>562</v>
      </c>
      <c r="O84" s="126" t="s">
        <v>845</v>
      </c>
      <c r="P84" s="232" t="s">
        <v>863</v>
      </c>
      <c r="Q84" s="146">
        <f t="shared" si="9"/>
        <v>22080</v>
      </c>
      <c r="R84" s="146">
        <f t="shared" si="10"/>
        <v>22080</v>
      </c>
      <c r="S84" s="134"/>
      <c r="T84" s="138">
        <f t="shared" si="11"/>
        <v>0</v>
      </c>
    </row>
    <row r="85" spans="1:20" s="16" customFormat="1">
      <c r="A85" s="177" t="s">
        <v>589</v>
      </c>
      <c r="B85" s="154"/>
      <c r="C85" s="154"/>
      <c r="D85" s="154"/>
      <c r="E85" s="154"/>
      <c r="F85" s="154"/>
      <c r="G85" s="154"/>
      <c r="H85" s="154"/>
      <c r="I85" s="178"/>
      <c r="J85" s="178"/>
      <c r="K85" s="154"/>
      <c r="L85" s="154"/>
      <c r="M85" s="154"/>
      <c r="N85" s="154"/>
      <c r="O85" s="154"/>
      <c r="P85" s="172"/>
      <c r="Q85" s="147"/>
      <c r="R85" s="147"/>
      <c r="S85" s="19"/>
      <c r="T85" s="138">
        <f t="shared" si="11"/>
        <v>0</v>
      </c>
    </row>
    <row r="86" spans="1:20" s="16" customFormat="1" ht="39">
      <c r="A86" s="117" t="s">
        <v>638</v>
      </c>
      <c r="B86" s="35" t="s">
        <v>680</v>
      </c>
      <c r="C86" s="36"/>
      <c r="D86" s="36"/>
      <c r="E86" s="37">
        <v>24</v>
      </c>
      <c r="F86" s="27">
        <f>H86*E86</f>
        <v>49280</v>
      </c>
      <c r="G86" s="32">
        <v>1540</v>
      </c>
      <c r="H86" s="57">
        <f t="shared" ref="H86:H96" si="15">G86/75*100</f>
        <v>2053.3333333333335</v>
      </c>
      <c r="I86" s="25">
        <v>6.2E-2</v>
      </c>
      <c r="J86" s="25">
        <v>13.4</v>
      </c>
      <c r="K86" s="162">
        <f t="shared" ref="K86:K96" si="16">I86*S86</f>
        <v>0</v>
      </c>
      <c r="L86" s="162">
        <f t="shared" ref="L86:L96" si="17">J86*S86</f>
        <v>0</v>
      </c>
      <c r="M86" s="34" t="s">
        <v>809</v>
      </c>
      <c r="N86" s="29" t="s">
        <v>562</v>
      </c>
      <c r="O86" s="126" t="s">
        <v>845</v>
      </c>
      <c r="P86" s="235" t="s">
        <v>864</v>
      </c>
      <c r="Q86" s="146">
        <f t="shared" ref="Q86:Q96" si="18">F86*(1-$Q$10)</f>
        <v>49280</v>
      </c>
      <c r="R86" s="146">
        <f t="shared" ref="R86:R96" si="19">H86*(1-$Q$10)</f>
        <v>2053.3333333333335</v>
      </c>
      <c r="S86" s="134"/>
      <c r="T86" s="138">
        <f t="shared" si="11"/>
        <v>0</v>
      </c>
    </row>
    <row r="87" spans="1:20" s="16" customFormat="1" hidden="1">
      <c r="A87" s="117" t="s">
        <v>639</v>
      </c>
      <c r="B87" s="35" t="s">
        <v>681</v>
      </c>
      <c r="C87" s="36"/>
      <c r="D87" s="36"/>
      <c r="E87" s="37">
        <v>16</v>
      </c>
      <c r="F87" s="27">
        <f>H87*E87</f>
        <v>24960</v>
      </c>
      <c r="G87" s="32">
        <v>1170</v>
      </c>
      <c r="H87" s="57">
        <f t="shared" si="15"/>
        <v>1560</v>
      </c>
      <c r="I87" s="25">
        <v>0.108</v>
      </c>
      <c r="J87" s="25">
        <v>13.7</v>
      </c>
      <c r="K87" s="162">
        <f t="shared" si="16"/>
        <v>0</v>
      </c>
      <c r="L87" s="162">
        <f t="shared" si="17"/>
        <v>0</v>
      </c>
      <c r="M87" s="34" t="s">
        <v>644</v>
      </c>
      <c r="N87" s="29" t="s">
        <v>562</v>
      </c>
      <c r="O87" s="29"/>
      <c r="P87" s="97" t="s">
        <v>490</v>
      </c>
      <c r="Q87" s="146">
        <f t="shared" si="18"/>
        <v>24960</v>
      </c>
      <c r="R87" s="146">
        <f t="shared" si="19"/>
        <v>1560</v>
      </c>
      <c r="S87" s="134"/>
      <c r="T87" s="138">
        <f t="shared" si="11"/>
        <v>0</v>
      </c>
    </row>
    <row r="88" spans="1:20" ht="21">
      <c r="A88" s="117" t="s">
        <v>640</v>
      </c>
      <c r="B88" s="35" t="s">
        <v>682</v>
      </c>
      <c r="C88" s="36"/>
      <c r="D88" s="36"/>
      <c r="E88" s="37">
        <v>16</v>
      </c>
      <c r="F88" s="27">
        <f>H88*E88</f>
        <v>41173.333333333336</v>
      </c>
      <c r="G88" s="32">
        <v>1930</v>
      </c>
      <c r="H88" s="57">
        <f t="shared" si="15"/>
        <v>2573.3333333333335</v>
      </c>
      <c r="I88" s="25">
        <v>8.4000000000000005E-2</v>
      </c>
      <c r="J88" s="25">
        <v>19.7</v>
      </c>
      <c r="K88" s="162">
        <f t="shared" si="16"/>
        <v>0</v>
      </c>
      <c r="L88" s="162">
        <f t="shared" si="17"/>
        <v>0</v>
      </c>
      <c r="M88" s="34" t="s">
        <v>644</v>
      </c>
      <c r="N88" s="29" t="s">
        <v>562</v>
      </c>
      <c r="O88" s="126" t="s">
        <v>845</v>
      </c>
      <c r="P88" s="235" t="s">
        <v>864</v>
      </c>
      <c r="Q88" s="146">
        <f t="shared" si="18"/>
        <v>41173.333333333336</v>
      </c>
      <c r="R88" s="146">
        <f t="shared" si="19"/>
        <v>2573.3333333333335</v>
      </c>
      <c r="S88" s="134"/>
      <c r="T88" s="138">
        <f t="shared" si="11"/>
        <v>0</v>
      </c>
    </row>
    <row r="89" spans="1:20">
      <c r="A89" s="53" t="s">
        <v>587</v>
      </c>
      <c r="B89" s="26" t="s">
        <v>592</v>
      </c>
      <c r="C89" s="25">
        <v>6</v>
      </c>
      <c r="D89" s="25" t="s">
        <v>126</v>
      </c>
      <c r="E89" s="25" t="s">
        <v>441</v>
      </c>
      <c r="F89" s="27">
        <f>H89*36*4</f>
        <v>24480</v>
      </c>
      <c r="G89" s="220">
        <v>120</v>
      </c>
      <c r="H89" s="57">
        <v>170</v>
      </c>
      <c r="I89" s="57"/>
      <c r="J89" s="57"/>
      <c r="K89" s="162">
        <f t="shared" si="16"/>
        <v>0</v>
      </c>
      <c r="L89" s="162">
        <f t="shared" si="17"/>
        <v>0</v>
      </c>
      <c r="M89" s="15" t="s">
        <v>591</v>
      </c>
      <c r="N89" s="83" t="s">
        <v>562</v>
      </c>
      <c r="O89" s="83"/>
      <c r="P89" s="235" t="s">
        <v>864</v>
      </c>
      <c r="Q89" s="146">
        <f t="shared" si="18"/>
        <v>24480</v>
      </c>
      <c r="R89" s="146">
        <f t="shared" si="19"/>
        <v>170</v>
      </c>
      <c r="S89" s="134"/>
      <c r="T89" s="138">
        <f t="shared" si="11"/>
        <v>0</v>
      </c>
    </row>
    <row r="90" spans="1:20" hidden="1">
      <c r="A90" s="118" t="s">
        <v>588</v>
      </c>
      <c r="B90" s="98" t="s">
        <v>593</v>
      </c>
      <c r="C90" s="95">
        <v>6</v>
      </c>
      <c r="D90" s="95" t="s">
        <v>126</v>
      </c>
      <c r="E90" s="95" t="s">
        <v>441</v>
      </c>
      <c r="F90" s="27">
        <f>H90*36*4</f>
        <v>24480</v>
      </c>
      <c r="G90" s="221">
        <v>213</v>
      </c>
      <c r="H90" s="57">
        <v>170</v>
      </c>
      <c r="I90" s="57"/>
      <c r="J90" s="57"/>
      <c r="K90" s="162">
        <f t="shared" si="16"/>
        <v>0</v>
      </c>
      <c r="L90" s="162">
        <f t="shared" si="17"/>
        <v>0</v>
      </c>
      <c r="M90" s="99" t="s">
        <v>591</v>
      </c>
      <c r="N90" s="83" t="s">
        <v>562</v>
      </c>
      <c r="O90" s="83"/>
      <c r="P90" s="97" t="s">
        <v>490</v>
      </c>
      <c r="Q90" s="146">
        <f t="shared" si="18"/>
        <v>24480</v>
      </c>
      <c r="R90" s="146">
        <f t="shared" si="19"/>
        <v>170</v>
      </c>
      <c r="S90" s="134"/>
      <c r="T90" s="138">
        <f t="shared" si="11"/>
        <v>0</v>
      </c>
    </row>
    <row r="91" spans="1:20" ht="21">
      <c r="A91" s="53" t="s">
        <v>689</v>
      </c>
      <c r="B91" s="98" t="s">
        <v>768</v>
      </c>
      <c r="C91" s="55" t="s">
        <v>166</v>
      </c>
      <c r="D91" s="55">
        <v>5</v>
      </c>
      <c r="E91" s="52" t="s">
        <v>127</v>
      </c>
      <c r="F91" s="27">
        <f>H91*24*4</f>
        <v>24288</v>
      </c>
      <c r="G91" s="114">
        <v>190</v>
      </c>
      <c r="H91" s="57">
        <v>253</v>
      </c>
      <c r="I91" s="25">
        <v>5.2999999999999999E-2</v>
      </c>
      <c r="J91" s="168">
        <v>20.5</v>
      </c>
      <c r="K91" s="162">
        <f t="shared" si="16"/>
        <v>0</v>
      </c>
      <c r="L91" s="162">
        <f t="shared" si="17"/>
        <v>0</v>
      </c>
      <c r="M91" s="15" t="s">
        <v>591</v>
      </c>
      <c r="N91" s="29" t="s">
        <v>562</v>
      </c>
      <c r="O91" s="126" t="s">
        <v>845</v>
      </c>
      <c r="P91" s="232" t="s">
        <v>863</v>
      </c>
      <c r="Q91" s="146">
        <f t="shared" si="18"/>
        <v>24288</v>
      </c>
      <c r="R91" s="146">
        <f t="shared" si="19"/>
        <v>253</v>
      </c>
      <c r="S91" s="134"/>
      <c r="T91" s="138">
        <f t="shared" si="11"/>
        <v>0</v>
      </c>
    </row>
    <row r="92" spans="1:20" ht="21">
      <c r="A92" s="53" t="s">
        <v>641</v>
      </c>
      <c r="B92" s="35" t="s">
        <v>683</v>
      </c>
      <c r="C92" s="55" t="s">
        <v>166</v>
      </c>
      <c r="D92" s="55">
        <v>5</v>
      </c>
      <c r="E92" s="52" t="s">
        <v>127</v>
      </c>
      <c r="F92" s="27">
        <f>H92*24*4</f>
        <v>24320</v>
      </c>
      <c r="G92" s="114">
        <v>190</v>
      </c>
      <c r="H92" s="57">
        <f t="shared" si="15"/>
        <v>253.33333333333331</v>
      </c>
      <c r="I92" s="167">
        <v>4.7E-2</v>
      </c>
      <c r="J92" s="25">
        <v>16.8</v>
      </c>
      <c r="K92" s="162">
        <f t="shared" si="16"/>
        <v>0</v>
      </c>
      <c r="L92" s="162">
        <f t="shared" si="17"/>
        <v>0</v>
      </c>
      <c r="M92" s="15" t="s">
        <v>591</v>
      </c>
      <c r="N92" s="29" t="s">
        <v>562</v>
      </c>
      <c r="O92" s="126" t="s">
        <v>845</v>
      </c>
      <c r="P92" s="235" t="s">
        <v>864</v>
      </c>
      <c r="Q92" s="146">
        <f t="shared" si="18"/>
        <v>24320</v>
      </c>
      <c r="R92" s="146">
        <f t="shared" si="19"/>
        <v>253.33333333333331</v>
      </c>
      <c r="S92" s="134"/>
      <c r="T92" s="138">
        <f t="shared" si="11"/>
        <v>0</v>
      </c>
    </row>
    <row r="93" spans="1:20" ht="21">
      <c r="A93" s="53" t="s">
        <v>642</v>
      </c>
      <c r="B93" s="35" t="s">
        <v>684</v>
      </c>
      <c r="C93" s="55" t="s">
        <v>166</v>
      </c>
      <c r="D93" s="55">
        <v>8</v>
      </c>
      <c r="E93" s="100" t="s">
        <v>672</v>
      </c>
      <c r="F93" s="27">
        <f>H93*18*4</f>
        <v>25920</v>
      </c>
      <c r="G93" s="114">
        <v>270</v>
      </c>
      <c r="H93" s="57">
        <f t="shared" si="15"/>
        <v>360</v>
      </c>
      <c r="I93" s="167">
        <v>3.5999999999999997E-2</v>
      </c>
      <c r="J93" s="168">
        <v>15</v>
      </c>
      <c r="K93" s="162">
        <f t="shared" si="16"/>
        <v>0</v>
      </c>
      <c r="L93" s="162">
        <f t="shared" si="17"/>
        <v>0</v>
      </c>
      <c r="M93" s="15" t="s">
        <v>591</v>
      </c>
      <c r="N93" s="29" t="s">
        <v>562</v>
      </c>
      <c r="O93" s="126" t="s">
        <v>845</v>
      </c>
      <c r="P93" s="235" t="s">
        <v>864</v>
      </c>
      <c r="Q93" s="146">
        <f t="shared" si="18"/>
        <v>25920</v>
      </c>
      <c r="R93" s="146">
        <f t="shared" si="19"/>
        <v>360</v>
      </c>
      <c r="S93" s="134"/>
      <c r="T93" s="138">
        <f t="shared" si="11"/>
        <v>0</v>
      </c>
    </row>
    <row r="94" spans="1:20">
      <c r="A94" s="53" t="s">
        <v>643</v>
      </c>
      <c r="B94" s="54" t="s">
        <v>743</v>
      </c>
      <c r="C94" s="55" t="s">
        <v>166</v>
      </c>
      <c r="D94" s="55">
        <v>8</v>
      </c>
      <c r="E94" s="100" t="s">
        <v>672</v>
      </c>
      <c r="F94" s="27">
        <f>H94*18*4</f>
        <v>25920</v>
      </c>
      <c r="G94" s="114">
        <v>270</v>
      </c>
      <c r="H94" s="57">
        <f t="shared" si="15"/>
        <v>360</v>
      </c>
      <c r="I94" s="57"/>
      <c r="J94" s="57"/>
      <c r="K94" s="162">
        <f t="shared" si="16"/>
        <v>0</v>
      </c>
      <c r="L94" s="162">
        <f t="shared" si="17"/>
        <v>0</v>
      </c>
      <c r="M94" s="15" t="s">
        <v>591</v>
      </c>
      <c r="N94" s="29" t="s">
        <v>562</v>
      </c>
      <c r="O94" s="29"/>
      <c r="P94" s="235" t="s">
        <v>864</v>
      </c>
      <c r="Q94" s="146">
        <f t="shared" si="18"/>
        <v>25920</v>
      </c>
      <c r="R94" s="146">
        <f t="shared" si="19"/>
        <v>360</v>
      </c>
      <c r="S94" s="134"/>
      <c r="T94" s="138">
        <f t="shared" si="11"/>
        <v>0</v>
      </c>
    </row>
    <row r="95" spans="1:20">
      <c r="A95" s="53" t="s">
        <v>690</v>
      </c>
      <c r="B95" s="26" t="s">
        <v>769</v>
      </c>
      <c r="C95" s="55" t="s">
        <v>166</v>
      </c>
      <c r="D95" s="55">
        <v>8</v>
      </c>
      <c r="E95" s="100" t="s">
        <v>672</v>
      </c>
      <c r="F95" s="27">
        <f>H95*18*4</f>
        <v>29760.000000000004</v>
      </c>
      <c r="G95" s="114">
        <v>310</v>
      </c>
      <c r="H95" s="57">
        <f t="shared" si="15"/>
        <v>413.33333333333337</v>
      </c>
      <c r="I95" s="57"/>
      <c r="J95" s="57"/>
      <c r="K95" s="162">
        <f t="shared" si="16"/>
        <v>0</v>
      </c>
      <c r="L95" s="162">
        <f t="shared" si="17"/>
        <v>0</v>
      </c>
      <c r="M95" s="15" t="s">
        <v>591</v>
      </c>
      <c r="N95" s="29" t="s">
        <v>562</v>
      </c>
      <c r="O95" s="29"/>
      <c r="P95" s="235" t="s">
        <v>864</v>
      </c>
      <c r="Q95" s="146">
        <f t="shared" si="18"/>
        <v>29760.000000000004</v>
      </c>
      <c r="R95" s="146">
        <f t="shared" si="19"/>
        <v>413.33333333333337</v>
      </c>
      <c r="S95" s="134"/>
      <c r="T95" s="138">
        <f t="shared" si="11"/>
        <v>0</v>
      </c>
    </row>
    <row r="96" spans="1:20" hidden="1">
      <c r="A96" s="179" t="s">
        <v>692</v>
      </c>
      <c r="B96" s="155" t="s">
        <v>770</v>
      </c>
      <c r="C96" s="180"/>
      <c r="D96" s="155"/>
      <c r="E96" s="100" t="s">
        <v>693</v>
      </c>
      <c r="F96" s="27">
        <f>H96*3</f>
        <v>37960</v>
      </c>
      <c r="G96" s="114">
        <v>9490</v>
      </c>
      <c r="H96" s="57">
        <f t="shared" si="15"/>
        <v>12653.333333333334</v>
      </c>
      <c r="I96" s="57"/>
      <c r="J96" s="57"/>
      <c r="K96" s="162">
        <f t="shared" si="16"/>
        <v>0</v>
      </c>
      <c r="L96" s="162">
        <f t="shared" si="17"/>
        <v>0</v>
      </c>
      <c r="M96" s="15" t="s">
        <v>691</v>
      </c>
      <c r="N96" s="29" t="s">
        <v>562</v>
      </c>
      <c r="O96" s="29"/>
      <c r="P96" s="97" t="s">
        <v>490</v>
      </c>
      <c r="Q96" s="146">
        <f t="shared" si="18"/>
        <v>37960</v>
      </c>
      <c r="R96" s="146">
        <f t="shared" si="19"/>
        <v>12653.333333333334</v>
      </c>
      <c r="S96" s="134"/>
      <c r="T96" s="138">
        <f t="shared" si="11"/>
        <v>0</v>
      </c>
    </row>
    <row r="97" spans="1:20" ht="132.75" customHeight="1">
      <c r="A97" s="151" t="s">
        <v>561</v>
      </c>
      <c r="B97" s="151"/>
      <c r="C97" s="151"/>
      <c r="D97" s="151"/>
      <c r="E97" s="151"/>
      <c r="F97" s="181"/>
      <c r="G97" s="182"/>
      <c r="H97" s="182"/>
      <c r="I97" s="183"/>
      <c r="J97" s="183"/>
      <c r="K97" s="182"/>
      <c r="L97" s="182"/>
      <c r="M97" s="184"/>
      <c r="N97" s="184"/>
      <c r="O97" s="184"/>
      <c r="P97" s="84"/>
      <c r="T97" s="139"/>
    </row>
    <row r="98" spans="1:20" ht="51" customHeight="1">
      <c r="A98" s="185" t="s">
        <v>0</v>
      </c>
      <c r="B98" s="21" t="s">
        <v>1</v>
      </c>
      <c r="C98" s="22" t="s">
        <v>2</v>
      </c>
      <c r="D98" s="21" t="s">
        <v>3</v>
      </c>
      <c r="E98" s="185" t="s">
        <v>4</v>
      </c>
      <c r="F98" s="186" t="s">
        <v>5</v>
      </c>
      <c r="H98" s="21" t="s">
        <v>6</v>
      </c>
      <c r="I98" s="3" t="s">
        <v>837</v>
      </c>
      <c r="J98" s="3" t="s">
        <v>838</v>
      </c>
      <c r="K98" s="21"/>
      <c r="L98" s="21"/>
      <c r="M98" s="21" t="s">
        <v>7</v>
      </c>
      <c r="N98" s="3" t="s">
        <v>562</v>
      </c>
      <c r="O98" s="3" t="s">
        <v>845</v>
      </c>
      <c r="P98" s="22" t="s">
        <v>8</v>
      </c>
      <c r="Q98" s="129" t="s">
        <v>792</v>
      </c>
      <c r="R98" s="129" t="s">
        <v>791</v>
      </c>
      <c r="S98" s="130" t="s">
        <v>793</v>
      </c>
      <c r="T98" s="140" t="s">
        <v>790</v>
      </c>
    </row>
    <row r="99" spans="1:20">
      <c r="A99" s="122" t="s">
        <v>66</v>
      </c>
      <c r="B99" s="123"/>
      <c r="C99" s="123"/>
      <c r="D99" s="123"/>
      <c r="E99" s="123"/>
      <c r="F99" s="123"/>
      <c r="G99" s="123"/>
      <c r="H99" s="123"/>
      <c r="I99" s="169"/>
      <c r="J99" s="169"/>
      <c r="K99" s="123"/>
      <c r="L99" s="123"/>
      <c r="M99" s="123"/>
      <c r="N99" s="123"/>
      <c r="O99" s="123"/>
      <c r="P99" s="124"/>
      <c r="T99" s="141"/>
    </row>
    <row r="100" spans="1:20">
      <c r="A100" s="44" t="s">
        <v>67</v>
      </c>
      <c r="B100" s="76" t="s">
        <v>68</v>
      </c>
      <c r="C100" s="23">
        <v>1</v>
      </c>
      <c r="D100" s="46"/>
      <c r="E100" s="79" t="s">
        <v>69</v>
      </c>
      <c r="F100" s="27">
        <f>H100*24*600</f>
        <v>15360.000000000004</v>
      </c>
      <c r="G100" s="75">
        <v>0.8</v>
      </c>
      <c r="H100" s="75">
        <f t="shared" ref="H100:H123" si="20">G100/75*100</f>
        <v>1.0666666666666669</v>
      </c>
      <c r="I100" s="167">
        <v>2.5000000000000001E-2</v>
      </c>
      <c r="J100" s="168">
        <v>9.6999999999999993</v>
      </c>
      <c r="K100" s="162">
        <f t="shared" ref="K100:K123" si="21">I100*S100</f>
        <v>0</v>
      </c>
      <c r="L100" s="162">
        <f t="shared" ref="L100:L123" si="22">J100*S100</f>
        <v>0</v>
      </c>
      <c r="M100" s="15"/>
      <c r="N100" s="15"/>
      <c r="O100" s="15"/>
      <c r="P100" s="232" t="s">
        <v>863</v>
      </c>
      <c r="Q100" s="148">
        <f t="shared" ref="Q100:Q123" si="23">F100*(1-$Q$10)</f>
        <v>15360.000000000004</v>
      </c>
      <c r="R100" s="148">
        <f t="shared" ref="R100:R123" si="24">H100*(1-$Q$10)</f>
        <v>1.0666666666666669</v>
      </c>
      <c r="S100" s="134"/>
      <c r="T100" s="138">
        <f t="shared" ref="T100:T123" si="25">S100*Q100</f>
        <v>0</v>
      </c>
    </row>
    <row r="101" spans="1:20" hidden="1">
      <c r="A101" s="44" t="s">
        <v>70</v>
      </c>
      <c r="B101" s="76" t="s">
        <v>71</v>
      </c>
      <c r="C101" s="23">
        <v>2</v>
      </c>
      <c r="D101" s="46"/>
      <c r="E101" s="79" t="s">
        <v>72</v>
      </c>
      <c r="F101" s="27">
        <f>H101*24*30*20</f>
        <v>31104</v>
      </c>
      <c r="G101" s="75">
        <v>1.62</v>
      </c>
      <c r="H101" s="75">
        <f t="shared" si="20"/>
        <v>2.16</v>
      </c>
      <c r="I101" s="75"/>
      <c r="J101" s="75"/>
      <c r="K101" s="162">
        <f t="shared" si="21"/>
        <v>0</v>
      </c>
      <c r="L101" s="162">
        <f t="shared" si="22"/>
        <v>0</v>
      </c>
      <c r="M101" s="187"/>
      <c r="N101" s="187"/>
      <c r="O101" s="187"/>
      <c r="P101" s="97" t="s">
        <v>490</v>
      </c>
      <c r="Q101" s="148">
        <f t="shared" si="23"/>
        <v>31104</v>
      </c>
      <c r="R101" s="148">
        <f t="shared" si="24"/>
        <v>2.16</v>
      </c>
      <c r="S101" s="134"/>
      <c r="T101" s="138">
        <f t="shared" si="25"/>
        <v>0</v>
      </c>
    </row>
    <row r="102" spans="1:20" hidden="1">
      <c r="A102" s="40" t="s">
        <v>695</v>
      </c>
      <c r="B102" s="78" t="s">
        <v>73</v>
      </c>
      <c r="C102" s="39">
        <v>3</v>
      </c>
      <c r="D102" s="42"/>
      <c r="E102" s="82" t="s">
        <v>72</v>
      </c>
      <c r="F102" s="27">
        <f>H102*24*30*20</f>
        <v>34944</v>
      </c>
      <c r="G102" s="77">
        <v>1.82</v>
      </c>
      <c r="H102" s="75">
        <f t="shared" si="20"/>
        <v>2.4266666666666667</v>
      </c>
      <c r="I102" s="75"/>
      <c r="J102" s="75"/>
      <c r="K102" s="162">
        <f t="shared" si="21"/>
        <v>0</v>
      </c>
      <c r="L102" s="162">
        <f t="shared" si="22"/>
        <v>0</v>
      </c>
      <c r="M102" s="187"/>
      <c r="N102" s="187"/>
      <c r="O102" s="187"/>
      <c r="P102" s="97" t="s">
        <v>490</v>
      </c>
      <c r="Q102" s="148">
        <f t="shared" si="23"/>
        <v>34944</v>
      </c>
      <c r="R102" s="148">
        <f t="shared" si="24"/>
        <v>2.4266666666666667</v>
      </c>
      <c r="S102" s="134"/>
      <c r="T102" s="138">
        <f t="shared" si="25"/>
        <v>0</v>
      </c>
    </row>
    <row r="103" spans="1:20" ht="25.5">
      <c r="A103" s="44" t="s">
        <v>74</v>
      </c>
      <c r="B103" s="76" t="s">
        <v>75</v>
      </c>
      <c r="C103" s="23">
        <v>1</v>
      </c>
      <c r="D103" s="46"/>
      <c r="E103" s="79" t="s">
        <v>621</v>
      </c>
      <c r="F103" s="27">
        <f>H103*50*200</f>
        <v>32000</v>
      </c>
      <c r="G103" s="75">
        <v>2.4</v>
      </c>
      <c r="H103" s="75">
        <f t="shared" si="20"/>
        <v>3.2</v>
      </c>
      <c r="I103" s="25">
        <v>5.3999999999999999E-2</v>
      </c>
      <c r="J103" s="168">
        <v>21.7</v>
      </c>
      <c r="K103" s="162">
        <f t="shared" si="21"/>
        <v>0</v>
      </c>
      <c r="L103" s="162">
        <f t="shared" si="22"/>
        <v>0</v>
      </c>
      <c r="M103" s="15" t="s">
        <v>76</v>
      </c>
      <c r="N103" s="15"/>
      <c r="O103" s="15"/>
      <c r="P103" s="232" t="s">
        <v>865</v>
      </c>
      <c r="Q103" s="148">
        <f t="shared" si="23"/>
        <v>32000</v>
      </c>
      <c r="R103" s="148">
        <f t="shared" si="24"/>
        <v>3.2</v>
      </c>
      <c r="S103" s="134"/>
      <c r="T103" s="138">
        <f t="shared" si="25"/>
        <v>0</v>
      </c>
    </row>
    <row r="104" spans="1:20" hidden="1">
      <c r="A104" s="40" t="s">
        <v>77</v>
      </c>
      <c r="B104" s="78" t="s">
        <v>78</v>
      </c>
      <c r="C104" s="39">
        <v>2</v>
      </c>
      <c r="D104" s="42"/>
      <c r="E104" s="82" t="s">
        <v>622</v>
      </c>
      <c r="F104" s="27">
        <f>H104*36*200</f>
        <v>28800</v>
      </c>
      <c r="G104" s="77">
        <v>3</v>
      </c>
      <c r="H104" s="75">
        <f t="shared" si="20"/>
        <v>4</v>
      </c>
      <c r="I104" s="75"/>
      <c r="J104" s="75"/>
      <c r="K104" s="162">
        <f t="shared" si="21"/>
        <v>0</v>
      </c>
      <c r="L104" s="162">
        <f t="shared" si="22"/>
        <v>0</v>
      </c>
      <c r="M104" s="187"/>
      <c r="N104" s="187"/>
      <c r="O104" s="187"/>
      <c r="P104" s="97" t="s">
        <v>490</v>
      </c>
      <c r="Q104" s="148">
        <f t="shared" si="23"/>
        <v>28800</v>
      </c>
      <c r="R104" s="148">
        <f t="shared" si="24"/>
        <v>4</v>
      </c>
      <c r="S104" s="134"/>
      <c r="T104" s="138">
        <f t="shared" si="25"/>
        <v>0</v>
      </c>
    </row>
    <row r="105" spans="1:20" hidden="1">
      <c r="A105" s="40" t="s">
        <v>694</v>
      </c>
      <c r="B105" s="78" t="s">
        <v>80</v>
      </c>
      <c r="C105" s="39">
        <v>3</v>
      </c>
      <c r="D105" s="42"/>
      <c r="E105" s="82" t="s">
        <v>79</v>
      </c>
      <c r="F105" s="27">
        <f>H105*12*30*20</f>
        <v>31680</v>
      </c>
      <c r="G105" s="77">
        <v>3.3</v>
      </c>
      <c r="H105" s="75">
        <f t="shared" si="20"/>
        <v>4.3999999999999995</v>
      </c>
      <c r="I105" s="75"/>
      <c r="J105" s="75"/>
      <c r="K105" s="162">
        <f t="shared" si="21"/>
        <v>0</v>
      </c>
      <c r="L105" s="162">
        <f t="shared" si="22"/>
        <v>0</v>
      </c>
      <c r="M105" s="187"/>
      <c r="N105" s="187"/>
      <c r="O105" s="187"/>
      <c r="P105" s="97" t="s">
        <v>490</v>
      </c>
      <c r="Q105" s="148">
        <f t="shared" si="23"/>
        <v>31680</v>
      </c>
      <c r="R105" s="148">
        <f t="shared" si="24"/>
        <v>4.3999999999999995</v>
      </c>
      <c r="S105" s="134"/>
      <c r="T105" s="138">
        <f t="shared" si="25"/>
        <v>0</v>
      </c>
    </row>
    <row r="106" spans="1:20">
      <c r="A106" s="44" t="s">
        <v>81</v>
      </c>
      <c r="B106" s="76" t="s">
        <v>82</v>
      </c>
      <c r="C106" s="23">
        <v>1</v>
      </c>
      <c r="D106" s="46"/>
      <c r="E106" s="79" t="s">
        <v>83</v>
      </c>
      <c r="F106" s="27">
        <f>H106*250*20</f>
        <v>19333.333333333332</v>
      </c>
      <c r="G106" s="75">
        <v>2.9</v>
      </c>
      <c r="H106" s="75">
        <f t="shared" si="20"/>
        <v>3.8666666666666667</v>
      </c>
      <c r="I106" s="167">
        <v>3.3000000000000002E-2</v>
      </c>
      <c r="J106" s="168">
        <v>11.8</v>
      </c>
      <c r="K106" s="162">
        <f t="shared" si="21"/>
        <v>0</v>
      </c>
      <c r="L106" s="162">
        <f t="shared" si="22"/>
        <v>0</v>
      </c>
      <c r="M106" s="15" t="s">
        <v>76</v>
      </c>
      <c r="N106" s="15"/>
      <c r="O106" s="15"/>
      <c r="P106" s="235" t="s">
        <v>864</v>
      </c>
      <c r="Q106" s="148">
        <f t="shared" si="23"/>
        <v>19333.333333333332</v>
      </c>
      <c r="R106" s="148">
        <f t="shared" si="24"/>
        <v>3.8666666666666667</v>
      </c>
      <c r="S106" s="134"/>
      <c r="T106" s="138">
        <f t="shared" si="25"/>
        <v>0</v>
      </c>
    </row>
    <row r="107" spans="1:20" hidden="1">
      <c r="A107" s="40" t="s">
        <v>671</v>
      </c>
      <c r="B107" s="78" t="s">
        <v>84</v>
      </c>
      <c r="C107" s="39">
        <v>2</v>
      </c>
      <c r="D107" s="42"/>
      <c r="E107" s="82" t="s">
        <v>83</v>
      </c>
      <c r="F107" s="27">
        <f>H107*250*20</f>
        <v>26666.666666666672</v>
      </c>
      <c r="G107" s="77">
        <v>4</v>
      </c>
      <c r="H107" s="75">
        <f t="shared" si="20"/>
        <v>5.3333333333333339</v>
      </c>
      <c r="I107" s="75"/>
      <c r="J107" s="75"/>
      <c r="K107" s="162">
        <f t="shared" si="21"/>
        <v>0</v>
      </c>
      <c r="L107" s="162">
        <f t="shared" si="22"/>
        <v>0</v>
      </c>
      <c r="M107" s="15"/>
      <c r="N107" s="15"/>
      <c r="O107" s="15"/>
      <c r="P107" s="97" t="s">
        <v>490</v>
      </c>
      <c r="Q107" s="148">
        <f t="shared" si="23"/>
        <v>26666.666666666672</v>
      </c>
      <c r="R107" s="148">
        <f t="shared" si="24"/>
        <v>5.3333333333333339</v>
      </c>
      <c r="S107" s="134"/>
      <c r="T107" s="138">
        <f t="shared" si="25"/>
        <v>0</v>
      </c>
    </row>
    <row r="108" spans="1:20" hidden="1">
      <c r="A108" s="40" t="s">
        <v>487</v>
      </c>
      <c r="B108" s="78" t="s">
        <v>488</v>
      </c>
      <c r="C108" s="39">
        <v>3</v>
      </c>
      <c r="D108" s="42"/>
      <c r="E108" s="82" t="s">
        <v>489</v>
      </c>
      <c r="F108" s="27">
        <f>H108*150*20</f>
        <v>18399.999999999996</v>
      </c>
      <c r="G108" s="77">
        <v>4.5999999999999996</v>
      </c>
      <c r="H108" s="75">
        <f t="shared" si="20"/>
        <v>6.1333333333333329</v>
      </c>
      <c r="I108" s="75"/>
      <c r="J108" s="75"/>
      <c r="K108" s="162">
        <f t="shared" si="21"/>
        <v>0</v>
      </c>
      <c r="L108" s="162">
        <f t="shared" si="22"/>
        <v>0</v>
      </c>
      <c r="M108" s="72"/>
      <c r="N108" s="72"/>
      <c r="O108" s="72"/>
      <c r="P108" s="97" t="s">
        <v>490</v>
      </c>
      <c r="Q108" s="148">
        <f t="shared" si="23"/>
        <v>18399.999999999996</v>
      </c>
      <c r="R108" s="148">
        <f t="shared" si="24"/>
        <v>6.1333333333333329</v>
      </c>
      <c r="S108" s="134"/>
      <c r="T108" s="138">
        <f t="shared" si="25"/>
        <v>0</v>
      </c>
    </row>
    <row r="109" spans="1:20">
      <c r="A109" s="44" t="s">
        <v>85</v>
      </c>
      <c r="B109" s="76" t="s">
        <v>86</v>
      </c>
      <c r="C109" s="23">
        <v>1</v>
      </c>
      <c r="D109" s="46"/>
      <c r="E109" s="79" t="s">
        <v>87</v>
      </c>
      <c r="F109" s="27">
        <f>H109*8*24*12</f>
        <v>27033.600000000002</v>
      </c>
      <c r="G109" s="75">
        <v>8.8000000000000007</v>
      </c>
      <c r="H109" s="75">
        <f t="shared" si="20"/>
        <v>11.733333333333334</v>
      </c>
      <c r="I109" s="167">
        <v>0.04</v>
      </c>
      <c r="J109" s="168">
        <v>24.4</v>
      </c>
      <c r="K109" s="162">
        <f t="shared" si="21"/>
        <v>0</v>
      </c>
      <c r="L109" s="162">
        <f t="shared" si="22"/>
        <v>0</v>
      </c>
      <c r="M109" s="15"/>
      <c r="N109" s="15"/>
      <c r="O109" s="15"/>
      <c r="P109" s="235" t="s">
        <v>864</v>
      </c>
      <c r="Q109" s="148">
        <f t="shared" si="23"/>
        <v>27033.600000000002</v>
      </c>
      <c r="R109" s="148">
        <f t="shared" si="24"/>
        <v>11.733333333333334</v>
      </c>
      <c r="S109" s="134"/>
      <c r="T109" s="138">
        <f t="shared" si="25"/>
        <v>0</v>
      </c>
    </row>
    <row r="110" spans="1:20" hidden="1">
      <c r="A110" s="40" t="s">
        <v>88</v>
      </c>
      <c r="B110" s="78" t="s">
        <v>89</v>
      </c>
      <c r="C110" s="39">
        <v>2</v>
      </c>
      <c r="D110" s="42"/>
      <c r="E110" s="82" t="s">
        <v>87</v>
      </c>
      <c r="F110" s="27">
        <f>H110*8*24*12</f>
        <v>25804.800000000003</v>
      </c>
      <c r="G110" s="77">
        <v>8.4</v>
      </c>
      <c r="H110" s="75">
        <f t="shared" si="20"/>
        <v>11.200000000000001</v>
      </c>
      <c r="I110" s="75"/>
      <c r="J110" s="75"/>
      <c r="K110" s="162">
        <f t="shared" si="21"/>
        <v>0</v>
      </c>
      <c r="L110" s="162">
        <f t="shared" si="22"/>
        <v>0</v>
      </c>
      <c r="M110" s="15"/>
      <c r="N110" s="15"/>
      <c r="O110" s="15"/>
      <c r="P110" s="97" t="s">
        <v>490</v>
      </c>
      <c r="Q110" s="148">
        <f t="shared" si="23"/>
        <v>25804.800000000003</v>
      </c>
      <c r="R110" s="148">
        <f t="shared" si="24"/>
        <v>11.200000000000001</v>
      </c>
      <c r="S110" s="134"/>
      <c r="T110" s="138">
        <f t="shared" si="25"/>
        <v>0</v>
      </c>
    </row>
    <row r="111" spans="1:20" ht="26.25">
      <c r="A111" s="44" t="s">
        <v>810</v>
      </c>
      <c r="B111" s="76" t="s">
        <v>90</v>
      </c>
      <c r="C111" s="23">
        <v>1</v>
      </c>
      <c r="D111" s="46"/>
      <c r="E111" s="79" t="s">
        <v>91</v>
      </c>
      <c r="F111" s="27">
        <f>H111*16*16*6</f>
        <v>31334.400000000001</v>
      </c>
      <c r="G111" s="75">
        <v>15.3</v>
      </c>
      <c r="H111" s="75">
        <f t="shared" si="20"/>
        <v>20.400000000000002</v>
      </c>
      <c r="I111" s="167">
        <v>3.1E-2</v>
      </c>
      <c r="J111" s="168">
        <v>12.3</v>
      </c>
      <c r="K111" s="162">
        <f t="shared" si="21"/>
        <v>0</v>
      </c>
      <c r="L111" s="162">
        <f t="shared" si="22"/>
        <v>0</v>
      </c>
      <c r="M111" s="15" t="s">
        <v>92</v>
      </c>
      <c r="N111" s="15"/>
      <c r="O111" s="15"/>
      <c r="P111" s="232" t="s">
        <v>863</v>
      </c>
      <c r="Q111" s="148">
        <f t="shared" si="23"/>
        <v>31334.400000000001</v>
      </c>
      <c r="R111" s="148">
        <f t="shared" si="24"/>
        <v>20.400000000000002</v>
      </c>
      <c r="S111" s="134"/>
      <c r="T111" s="138">
        <f t="shared" si="25"/>
        <v>0</v>
      </c>
    </row>
    <row r="112" spans="1:20" ht="26.25" hidden="1">
      <c r="A112" s="44" t="s">
        <v>696</v>
      </c>
      <c r="B112" s="76" t="s">
        <v>93</v>
      </c>
      <c r="C112" s="23">
        <v>1</v>
      </c>
      <c r="D112" s="46"/>
      <c r="E112" s="79" t="s">
        <v>91</v>
      </c>
      <c r="F112" s="27">
        <f>H112*16*16*6</f>
        <v>41369.599999999991</v>
      </c>
      <c r="G112" s="75">
        <v>20.2</v>
      </c>
      <c r="H112" s="75">
        <f t="shared" si="20"/>
        <v>26.93333333333333</v>
      </c>
      <c r="I112" s="75"/>
      <c r="J112" s="75"/>
      <c r="K112" s="162">
        <f t="shared" si="21"/>
        <v>0</v>
      </c>
      <c r="L112" s="162">
        <f t="shared" si="22"/>
        <v>0</v>
      </c>
      <c r="M112" s="15" t="s">
        <v>94</v>
      </c>
      <c r="N112" s="187"/>
      <c r="O112" s="187"/>
      <c r="P112" s="97" t="s">
        <v>490</v>
      </c>
      <c r="Q112" s="148">
        <f t="shared" si="23"/>
        <v>41369.599999999991</v>
      </c>
      <c r="R112" s="148">
        <f t="shared" si="24"/>
        <v>26.93333333333333</v>
      </c>
      <c r="S112" s="134"/>
      <c r="T112" s="138">
        <f t="shared" si="25"/>
        <v>0</v>
      </c>
    </row>
    <row r="113" spans="1:20">
      <c r="A113" s="44" t="s">
        <v>811</v>
      </c>
      <c r="B113" s="76" t="s">
        <v>812</v>
      </c>
      <c r="C113" s="23">
        <v>1</v>
      </c>
      <c r="D113" s="46"/>
      <c r="E113" s="79" t="s">
        <v>836</v>
      </c>
      <c r="F113" s="27">
        <f>H113*16*12*6</f>
        <v>21504</v>
      </c>
      <c r="G113" s="75">
        <v>14</v>
      </c>
      <c r="H113" s="75">
        <f t="shared" si="20"/>
        <v>18.666666666666668</v>
      </c>
      <c r="I113" s="167">
        <v>2.5999999999999999E-2</v>
      </c>
      <c r="J113" s="168">
        <v>14.4</v>
      </c>
      <c r="K113" s="162">
        <f t="shared" si="21"/>
        <v>0</v>
      </c>
      <c r="L113" s="162">
        <f t="shared" si="22"/>
        <v>0</v>
      </c>
      <c r="M113" s="15"/>
      <c r="N113" s="187"/>
      <c r="O113" s="187"/>
      <c r="P113" s="235" t="s">
        <v>864</v>
      </c>
      <c r="Q113" s="148"/>
      <c r="R113" s="148">
        <f t="shared" si="24"/>
        <v>18.666666666666668</v>
      </c>
      <c r="S113" s="134"/>
      <c r="T113" s="138"/>
    </row>
    <row r="114" spans="1:20">
      <c r="A114" s="44" t="s">
        <v>95</v>
      </c>
      <c r="B114" s="76" t="s">
        <v>96</v>
      </c>
      <c r="C114" s="23">
        <v>1</v>
      </c>
      <c r="D114" s="46"/>
      <c r="E114" s="79" t="s">
        <v>97</v>
      </c>
      <c r="F114" s="27">
        <f>H114*600</f>
        <v>31600</v>
      </c>
      <c r="G114" s="75">
        <v>39.5</v>
      </c>
      <c r="H114" s="75">
        <f t="shared" si="20"/>
        <v>52.666666666666664</v>
      </c>
      <c r="I114" s="75"/>
      <c r="J114" s="75"/>
      <c r="K114" s="162">
        <f t="shared" si="21"/>
        <v>0</v>
      </c>
      <c r="L114" s="162">
        <f t="shared" si="22"/>
        <v>0</v>
      </c>
      <c r="M114" s="15"/>
      <c r="N114" s="15"/>
      <c r="O114" s="15"/>
      <c r="P114" s="235" t="s">
        <v>864</v>
      </c>
      <c r="Q114" s="148">
        <f t="shared" si="23"/>
        <v>31600</v>
      </c>
      <c r="R114" s="148">
        <f t="shared" si="24"/>
        <v>52.666666666666664</v>
      </c>
      <c r="S114" s="134"/>
      <c r="T114" s="138">
        <f t="shared" si="25"/>
        <v>0</v>
      </c>
    </row>
    <row r="115" spans="1:20" hidden="1">
      <c r="A115" s="40" t="s">
        <v>98</v>
      </c>
      <c r="B115" s="78" t="s">
        <v>99</v>
      </c>
      <c r="C115" s="39">
        <v>1</v>
      </c>
      <c r="D115" s="42"/>
      <c r="E115" s="82" t="s">
        <v>100</v>
      </c>
      <c r="F115" s="27">
        <f>H115*300</f>
        <v>26400</v>
      </c>
      <c r="G115" s="77">
        <v>66</v>
      </c>
      <c r="H115" s="75">
        <f t="shared" si="20"/>
        <v>88</v>
      </c>
      <c r="I115" s="75"/>
      <c r="J115" s="75"/>
      <c r="K115" s="162">
        <f t="shared" si="21"/>
        <v>0</v>
      </c>
      <c r="L115" s="162">
        <f t="shared" si="22"/>
        <v>0</v>
      </c>
      <c r="M115" s="15"/>
      <c r="N115" s="15"/>
      <c r="O115" s="15"/>
      <c r="P115" s="97" t="s">
        <v>490</v>
      </c>
      <c r="Q115" s="148">
        <f t="shared" si="23"/>
        <v>26400</v>
      </c>
      <c r="R115" s="148">
        <f t="shared" si="24"/>
        <v>88</v>
      </c>
      <c r="S115" s="134"/>
      <c r="T115" s="138">
        <f t="shared" si="25"/>
        <v>0</v>
      </c>
    </row>
    <row r="116" spans="1:20" hidden="1">
      <c r="A116" s="40" t="s">
        <v>101</v>
      </c>
      <c r="B116" s="78" t="s">
        <v>102</v>
      </c>
      <c r="C116" s="39">
        <v>1</v>
      </c>
      <c r="D116" s="42"/>
      <c r="E116" s="82" t="s">
        <v>103</v>
      </c>
      <c r="F116" s="27">
        <f>H116*32*6</f>
        <v>29440</v>
      </c>
      <c r="G116" s="77">
        <v>115</v>
      </c>
      <c r="H116" s="75">
        <f t="shared" si="20"/>
        <v>153.33333333333334</v>
      </c>
      <c r="I116" s="75"/>
      <c r="J116" s="75"/>
      <c r="K116" s="162">
        <f t="shared" si="21"/>
        <v>0</v>
      </c>
      <c r="L116" s="162">
        <f t="shared" si="22"/>
        <v>0</v>
      </c>
      <c r="M116" s="15"/>
      <c r="N116" s="15"/>
      <c r="O116" s="15"/>
      <c r="P116" s="97" t="s">
        <v>490</v>
      </c>
      <c r="Q116" s="148">
        <f t="shared" si="23"/>
        <v>29440</v>
      </c>
      <c r="R116" s="148">
        <f t="shared" si="24"/>
        <v>153.33333333333334</v>
      </c>
      <c r="S116" s="134"/>
      <c r="T116" s="138">
        <f t="shared" si="25"/>
        <v>0</v>
      </c>
    </row>
    <row r="117" spans="1:20">
      <c r="A117" s="44" t="s">
        <v>104</v>
      </c>
      <c r="B117" s="76" t="s">
        <v>866</v>
      </c>
      <c r="C117" s="23">
        <v>1</v>
      </c>
      <c r="D117" s="46"/>
      <c r="E117" s="79" t="s">
        <v>105</v>
      </c>
      <c r="F117" s="27">
        <f>H117*48*5</f>
        <v>39360</v>
      </c>
      <c r="G117" s="77">
        <v>123</v>
      </c>
      <c r="H117" s="75">
        <f t="shared" si="20"/>
        <v>164</v>
      </c>
      <c r="I117" s="75"/>
      <c r="J117" s="75"/>
      <c r="K117" s="162">
        <f t="shared" si="21"/>
        <v>0</v>
      </c>
      <c r="L117" s="162">
        <f t="shared" si="22"/>
        <v>0</v>
      </c>
      <c r="M117" s="15"/>
      <c r="N117" s="15"/>
      <c r="O117" s="15"/>
      <c r="P117" s="235" t="s">
        <v>864</v>
      </c>
      <c r="Q117" s="148">
        <f t="shared" si="23"/>
        <v>39360</v>
      </c>
      <c r="R117" s="148">
        <f t="shared" si="24"/>
        <v>164</v>
      </c>
      <c r="S117" s="134"/>
      <c r="T117" s="138">
        <f t="shared" si="25"/>
        <v>0</v>
      </c>
    </row>
    <row r="118" spans="1:20">
      <c r="A118" s="44" t="s">
        <v>106</v>
      </c>
      <c r="B118" s="76" t="s">
        <v>867</v>
      </c>
      <c r="C118" s="23">
        <v>1</v>
      </c>
      <c r="D118" s="46"/>
      <c r="E118" s="79" t="s">
        <v>105</v>
      </c>
      <c r="F118" s="27">
        <f>H118*48*5</f>
        <v>43200</v>
      </c>
      <c r="G118" s="75">
        <v>135</v>
      </c>
      <c r="H118" s="75">
        <f t="shared" si="20"/>
        <v>180</v>
      </c>
      <c r="I118" s="75"/>
      <c r="J118" s="75"/>
      <c r="K118" s="162">
        <f t="shared" si="21"/>
        <v>0</v>
      </c>
      <c r="L118" s="162">
        <f t="shared" si="22"/>
        <v>0</v>
      </c>
      <c r="M118" s="15"/>
      <c r="N118" s="15"/>
      <c r="O118" s="15"/>
      <c r="P118" s="235" t="s">
        <v>864</v>
      </c>
      <c r="Q118" s="148">
        <f t="shared" si="23"/>
        <v>43200</v>
      </c>
      <c r="R118" s="148">
        <f t="shared" si="24"/>
        <v>180</v>
      </c>
      <c r="S118" s="134"/>
      <c r="T118" s="138">
        <f t="shared" si="25"/>
        <v>0</v>
      </c>
    </row>
    <row r="119" spans="1:20" ht="25.5" hidden="1">
      <c r="A119" s="40" t="s">
        <v>491</v>
      </c>
      <c r="B119" s="78" t="s">
        <v>492</v>
      </c>
      <c r="C119" s="39">
        <v>30</v>
      </c>
      <c r="D119" s="42"/>
      <c r="E119" s="82" t="s">
        <v>493</v>
      </c>
      <c r="F119" s="27">
        <f>H119*12*100</f>
        <v>19040</v>
      </c>
      <c r="G119" s="77">
        <v>11.9</v>
      </c>
      <c r="H119" s="75">
        <f t="shared" si="20"/>
        <v>15.866666666666667</v>
      </c>
      <c r="I119" s="75"/>
      <c r="J119" s="75"/>
      <c r="K119" s="162">
        <f t="shared" si="21"/>
        <v>0</v>
      </c>
      <c r="L119" s="162">
        <f t="shared" si="22"/>
        <v>0</v>
      </c>
      <c r="M119" s="72"/>
      <c r="N119" s="72"/>
      <c r="O119" s="72"/>
      <c r="P119" s="97" t="s">
        <v>490</v>
      </c>
      <c r="Q119" s="148">
        <f t="shared" si="23"/>
        <v>19040</v>
      </c>
      <c r="R119" s="148">
        <f t="shared" si="24"/>
        <v>15.866666666666667</v>
      </c>
      <c r="S119" s="134"/>
      <c r="T119" s="138">
        <f t="shared" si="25"/>
        <v>0</v>
      </c>
    </row>
    <row r="120" spans="1:20" ht="25.5" hidden="1">
      <c r="A120" s="40" t="s">
        <v>107</v>
      </c>
      <c r="B120" s="78" t="s">
        <v>108</v>
      </c>
      <c r="C120" s="39">
        <v>20</v>
      </c>
      <c r="D120" s="42"/>
      <c r="E120" s="82" t="s">
        <v>109</v>
      </c>
      <c r="F120" s="27">
        <f>H120*16*60</f>
        <v>42496.000000000007</v>
      </c>
      <c r="G120" s="77">
        <v>33.200000000000003</v>
      </c>
      <c r="H120" s="75">
        <f t="shared" si="20"/>
        <v>44.266666666666673</v>
      </c>
      <c r="I120" s="75"/>
      <c r="J120" s="75"/>
      <c r="K120" s="162">
        <f t="shared" si="21"/>
        <v>0</v>
      </c>
      <c r="L120" s="162">
        <f t="shared" si="22"/>
        <v>0</v>
      </c>
      <c r="M120" s="187"/>
      <c r="N120" s="187"/>
      <c r="O120" s="187"/>
      <c r="P120" s="97" t="s">
        <v>490</v>
      </c>
      <c r="Q120" s="148">
        <f t="shared" si="23"/>
        <v>42496.000000000007</v>
      </c>
      <c r="R120" s="148">
        <f t="shared" si="24"/>
        <v>44.266666666666673</v>
      </c>
      <c r="S120" s="134"/>
      <c r="T120" s="138">
        <f t="shared" si="25"/>
        <v>0</v>
      </c>
    </row>
    <row r="121" spans="1:20" ht="38.25" hidden="1">
      <c r="A121" s="60" t="s">
        <v>110</v>
      </c>
      <c r="B121" s="80" t="s">
        <v>111</v>
      </c>
      <c r="C121" s="81">
        <v>1</v>
      </c>
      <c r="D121" s="24"/>
      <c r="E121" s="82" t="s">
        <v>112</v>
      </c>
      <c r="F121" s="27">
        <f>H121*2000</f>
        <v>35733.333333333336</v>
      </c>
      <c r="G121" s="77">
        <v>13.4</v>
      </c>
      <c r="H121" s="75">
        <f t="shared" si="20"/>
        <v>17.866666666666667</v>
      </c>
      <c r="I121" s="75"/>
      <c r="J121" s="75"/>
      <c r="K121" s="162">
        <f t="shared" si="21"/>
        <v>0</v>
      </c>
      <c r="L121" s="162">
        <f t="shared" si="22"/>
        <v>0</v>
      </c>
      <c r="M121" s="24" t="s">
        <v>113</v>
      </c>
      <c r="N121" s="25"/>
      <c r="O121" s="25"/>
      <c r="P121" s="97" t="s">
        <v>490</v>
      </c>
      <c r="Q121" s="148">
        <f t="shared" si="23"/>
        <v>35733.333333333336</v>
      </c>
      <c r="R121" s="148">
        <f t="shared" si="24"/>
        <v>17.866666666666667</v>
      </c>
      <c r="S121" s="134"/>
      <c r="T121" s="138">
        <f t="shared" si="25"/>
        <v>0</v>
      </c>
    </row>
    <row r="122" spans="1:20" ht="38.25" hidden="1">
      <c r="A122" s="60" t="s">
        <v>114</v>
      </c>
      <c r="B122" s="80" t="s">
        <v>565</v>
      </c>
      <c r="C122" s="81">
        <v>1</v>
      </c>
      <c r="D122" s="24"/>
      <c r="E122" s="82" t="s">
        <v>112</v>
      </c>
      <c r="F122" s="27">
        <f>H122*2000</f>
        <v>27733.333333333332</v>
      </c>
      <c r="G122" s="77">
        <v>10.4</v>
      </c>
      <c r="H122" s="75">
        <f t="shared" si="20"/>
        <v>13.866666666666665</v>
      </c>
      <c r="I122" s="75"/>
      <c r="J122" s="75"/>
      <c r="K122" s="162">
        <f t="shared" si="21"/>
        <v>0</v>
      </c>
      <c r="L122" s="162">
        <f t="shared" si="22"/>
        <v>0</v>
      </c>
      <c r="M122" s="24" t="s">
        <v>113</v>
      </c>
      <c r="N122" s="25"/>
      <c r="O122" s="25"/>
      <c r="P122" s="97" t="s">
        <v>490</v>
      </c>
      <c r="Q122" s="148">
        <f t="shared" si="23"/>
        <v>27733.333333333332</v>
      </c>
      <c r="R122" s="148">
        <f t="shared" si="24"/>
        <v>13.866666666666665</v>
      </c>
      <c r="S122" s="134"/>
      <c r="T122" s="138">
        <f t="shared" si="25"/>
        <v>0</v>
      </c>
    </row>
    <row r="123" spans="1:20" ht="25.5" hidden="1">
      <c r="A123" s="58" t="s">
        <v>759</v>
      </c>
      <c r="B123" s="104" t="s">
        <v>613</v>
      </c>
      <c r="C123" s="55">
        <v>1</v>
      </c>
      <c r="D123" s="25"/>
      <c r="E123" s="79" t="s">
        <v>614</v>
      </c>
      <c r="F123" s="27">
        <f>H123*12*50*50</f>
        <v>24000.000000000004</v>
      </c>
      <c r="G123" s="75">
        <v>0.6</v>
      </c>
      <c r="H123" s="75">
        <f t="shared" si="20"/>
        <v>0.8</v>
      </c>
      <c r="I123" s="167">
        <v>4.2999999999999997E-2</v>
      </c>
      <c r="J123" s="168">
        <v>12.7</v>
      </c>
      <c r="K123" s="162">
        <f t="shared" si="21"/>
        <v>0</v>
      </c>
      <c r="L123" s="162">
        <f t="shared" si="22"/>
        <v>0</v>
      </c>
      <c r="M123" s="25" t="s">
        <v>615</v>
      </c>
      <c r="N123" s="25"/>
      <c r="O123" s="25"/>
      <c r="P123" s="97" t="s">
        <v>490</v>
      </c>
      <c r="Q123" s="148">
        <f t="shared" si="23"/>
        <v>24000.000000000004</v>
      </c>
      <c r="R123" s="148">
        <f t="shared" si="24"/>
        <v>0.8</v>
      </c>
      <c r="S123" s="134"/>
      <c r="T123" s="138">
        <f t="shared" si="25"/>
        <v>0</v>
      </c>
    </row>
    <row r="124" spans="1:20">
      <c r="A124" s="188" t="s">
        <v>115</v>
      </c>
      <c r="B124" s="156"/>
      <c r="C124" s="156"/>
      <c r="D124" s="156"/>
      <c r="E124" s="156"/>
      <c r="F124" s="156"/>
      <c r="G124" s="156"/>
      <c r="H124" s="156"/>
      <c r="I124" s="189"/>
      <c r="J124" s="189"/>
      <c r="K124" s="156"/>
      <c r="L124" s="156"/>
      <c r="M124" s="156"/>
      <c r="N124" s="156"/>
      <c r="O124" s="156"/>
      <c r="P124" s="173"/>
      <c r="T124" s="139"/>
    </row>
    <row r="125" spans="1:20">
      <c r="A125" s="44" t="s">
        <v>116</v>
      </c>
      <c r="B125" s="45" t="s">
        <v>645</v>
      </c>
      <c r="C125" s="46">
        <v>25</v>
      </c>
      <c r="D125" s="47" t="s">
        <v>117</v>
      </c>
      <c r="E125" s="47" t="s">
        <v>118</v>
      </c>
      <c r="F125" s="27">
        <v>22410</v>
      </c>
      <c r="G125" s="28">
        <v>134</v>
      </c>
      <c r="H125" s="57">
        <f>F125/120</f>
        <v>186.75</v>
      </c>
      <c r="I125" s="57"/>
      <c r="J125" s="57"/>
      <c r="K125" s="162">
        <f t="shared" ref="K125:K146" si="26">I125*S125</f>
        <v>0</v>
      </c>
      <c r="L125" s="162">
        <f t="shared" ref="L125:L146" si="27">J125*S125</f>
        <v>0</v>
      </c>
      <c r="M125" s="15"/>
      <c r="N125" s="64" t="s">
        <v>619</v>
      </c>
      <c r="O125" s="64"/>
      <c r="P125" s="235" t="s">
        <v>864</v>
      </c>
      <c r="Q125" s="146">
        <f t="shared" ref="Q125:Q146" si="28">F125*(1-$Q$10)</f>
        <v>22410</v>
      </c>
      <c r="R125" s="146">
        <f t="shared" ref="R125:R146" si="29">H125*(1-$Q$10)</f>
        <v>186.75</v>
      </c>
      <c r="S125" s="134"/>
      <c r="T125" s="138">
        <f t="shared" ref="T125:T146" si="30">S125*Q125</f>
        <v>0</v>
      </c>
    </row>
    <row r="126" spans="1:20" hidden="1">
      <c r="A126" s="44" t="s">
        <v>119</v>
      </c>
      <c r="B126" s="45" t="s">
        <v>646</v>
      </c>
      <c r="C126" s="46">
        <v>50</v>
      </c>
      <c r="D126" s="47" t="s">
        <v>117</v>
      </c>
      <c r="E126" s="47" t="s">
        <v>120</v>
      </c>
      <c r="F126" s="27">
        <f>H126*80</f>
        <v>29546.666666666664</v>
      </c>
      <c r="G126" s="114">
        <v>277</v>
      </c>
      <c r="H126" s="57">
        <f t="shared" ref="H126:H146" si="31">G126/75*100</f>
        <v>369.33333333333331</v>
      </c>
      <c r="I126" s="57"/>
      <c r="J126" s="57"/>
      <c r="K126" s="162">
        <f t="shared" si="26"/>
        <v>0</v>
      </c>
      <c r="L126" s="162">
        <f t="shared" si="27"/>
        <v>0</v>
      </c>
      <c r="M126" s="15"/>
      <c r="N126" s="64" t="s">
        <v>619</v>
      </c>
      <c r="O126" s="64"/>
      <c r="P126" s="97" t="s">
        <v>490</v>
      </c>
      <c r="Q126" s="146">
        <f t="shared" si="28"/>
        <v>29546.666666666664</v>
      </c>
      <c r="R126" s="146">
        <f t="shared" si="29"/>
        <v>369.33333333333331</v>
      </c>
      <c r="S126" s="134"/>
      <c r="T126" s="138">
        <f t="shared" si="30"/>
        <v>0</v>
      </c>
    </row>
    <row r="127" spans="1:20" ht="25.5" hidden="1">
      <c r="A127" s="48" t="s">
        <v>121</v>
      </c>
      <c r="B127" s="49" t="s">
        <v>668</v>
      </c>
      <c r="C127" s="50">
        <v>100</v>
      </c>
      <c r="D127" s="51" t="s">
        <v>117</v>
      </c>
      <c r="E127" s="51" t="s">
        <v>122</v>
      </c>
      <c r="F127" s="27">
        <f>H127*60</f>
        <v>38400</v>
      </c>
      <c r="G127" s="28">
        <v>480</v>
      </c>
      <c r="H127" s="57">
        <f t="shared" si="31"/>
        <v>640</v>
      </c>
      <c r="I127" s="57"/>
      <c r="J127" s="57"/>
      <c r="K127" s="162">
        <f t="shared" si="26"/>
        <v>0</v>
      </c>
      <c r="L127" s="162">
        <f t="shared" si="27"/>
        <v>0</v>
      </c>
      <c r="M127" s="15"/>
      <c r="N127" s="64" t="s">
        <v>619</v>
      </c>
      <c r="O127" s="64"/>
      <c r="P127" s="97" t="s">
        <v>490</v>
      </c>
      <c r="Q127" s="146">
        <f t="shared" si="28"/>
        <v>38400</v>
      </c>
      <c r="R127" s="146">
        <f t="shared" si="29"/>
        <v>640</v>
      </c>
      <c r="S127" s="134"/>
      <c r="T127" s="138">
        <f t="shared" si="30"/>
        <v>0</v>
      </c>
    </row>
    <row r="128" spans="1:20" hidden="1">
      <c r="A128" s="44" t="s">
        <v>123</v>
      </c>
      <c r="B128" s="45" t="s">
        <v>124</v>
      </c>
      <c r="C128" s="46" t="s">
        <v>125</v>
      </c>
      <c r="D128" s="47" t="s">
        <v>126</v>
      </c>
      <c r="E128" s="47" t="s">
        <v>127</v>
      </c>
      <c r="F128" s="27">
        <f>H128*24*4</f>
        <v>38400</v>
      </c>
      <c r="G128" s="222">
        <v>287</v>
      </c>
      <c r="H128" s="57">
        <v>400</v>
      </c>
      <c r="I128" s="57"/>
      <c r="J128" s="57"/>
      <c r="K128" s="162">
        <f t="shared" si="26"/>
        <v>0</v>
      </c>
      <c r="L128" s="162">
        <f t="shared" si="27"/>
        <v>0</v>
      </c>
      <c r="M128" s="14" t="s">
        <v>128</v>
      </c>
      <c r="N128" s="64" t="s">
        <v>619</v>
      </c>
      <c r="O128" s="64"/>
      <c r="P128" s="97" t="s">
        <v>490</v>
      </c>
      <c r="Q128" s="146">
        <f t="shared" si="28"/>
        <v>38400</v>
      </c>
      <c r="R128" s="146">
        <f t="shared" si="29"/>
        <v>400</v>
      </c>
      <c r="S128" s="134"/>
      <c r="T128" s="138">
        <f t="shared" si="30"/>
        <v>0</v>
      </c>
    </row>
    <row r="129" spans="1:20" ht="25.5" hidden="1">
      <c r="A129" s="58" t="s">
        <v>133</v>
      </c>
      <c r="B129" s="54" t="s">
        <v>134</v>
      </c>
      <c r="C129" s="25">
        <v>9</v>
      </c>
      <c r="D129" s="52" t="s">
        <v>166</v>
      </c>
      <c r="E129" s="52" t="s">
        <v>135</v>
      </c>
      <c r="F129" s="27">
        <f>H129*24*2</f>
        <v>33280</v>
      </c>
      <c r="G129" s="115">
        <v>520</v>
      </c>
      <c r="H129" s="57">
        <f t="shared" si="31"/>
        <v>693.33333333333337</v>
      </c>
      <c r="I129" s="57"/>
      <c r="J129" s="57"/>
      <c r="K129" s="162">
        <f t="shared" si="26"/>
        <v>0</v>
      </c>
      <c r="L129" s="162">
        <f t="shared" si="27"/>
        <v>0</v>
      </c>
      <c r="M129" s="25" t="s">
        <v>136</v>
      </c>
      <c r="N129" s="29" t="s">
        <v>619</v>
      </c>
      <c r="O129" s="29"/>
      <c r="P129" s="97" t="s">
        <v>490</v>
      </c>
      <c r="Q129" s="146">
        <f t="shared" si="28"/>
        <v>33280</v>
      </c>
      <c r="R129" s="146">
        <f t="shared" si="29"/>
        <v>693.33333333333337</v>
      </c>
      <c r="S129" s="134"/>
      <c r="T129" s="138">
        <f t="shared" si="30"/>
        <v>0</v>
      </c>
    </row>
    <row r="130" spans="1:20" hidden="1">
      <c r="A130" s="60" t="s">
        <v>494</v>
      </c>
      <c r="B130" s="61" t="s">
        <v>495</v>
      </c>
      <c r="C130" s="24">
        <v>7</v>
      </c>
      <c r="D130" s="38" t="s">
        <v>166</v>
      </c>
      <c r="E130" s="38" t="s">
        <v>647</v>
      </c>
      <c r="F130" s="27">
        <f>H130*E130</f>
        <v>28480</v>
      </c>
      <c r="G130" s="106">
        <v>445</v>
      </c>
      <c r="H130" s="57">
        <f t="shared" si="31"/>
        <v>593.33333333333337</v>
      </c>
      <c r="I130" s="57"/>
      <c r="J130" s="57"/>
      <c r="K130" s="162">
        <f t="shared" si="26"/>
        <v>0</v>
      </c>
      <c r="L130" s="162">
        <f t="shared" si="27"/>
        <v>0</v>
      </c>
      <c r="M130" s="190"/>
      <c r="N130" s="29" t="s">
        <v>619</v>
      </c>
      <c r="O130" s="29"/>
      <c r="P130" s="97" t="s">
        <v>490</v>
      </c>
      <c r="Q130" s="146">
        <f t="shared" si="28"/>
        <v>28480</v>
      </c>
      <c r="R130" s="146">
        <f t="shared" si="29"/>
        <v>593.33333333333337</v>
      </c>
      <c r="S130" s="134"/>
      <c r="T130" s="138">
        <f t="shared" si="30"/>
        <v>0</v>
      </c>
    </row>
    <row r="131" spans="1:20">
      <c r="A131" s="58" t="s">
        <v>137</v>
      </c>
      <c r="B131" s="54" t="s">
        <v>138</v>
      </c>
      <c r="C131" s="25">
        <v>16</v>
      </c>
      <c r="D131" s="52" t="s">
        <v>166</v>
      </c>
      <c r="E131" s="52" t="s">
        <v>648</v>
      </c>
      <c r="F131" s="27">
        <f>H131*E131</f>
        <v>25440</v>
      </c>
      <c r="G131" s="27">
        <v>795</v>
      </c>
      <c r="H131" s="57">
        <f t="shared" si="31"/>
        <v>1060</v>
      </c>
      <c r="I131" s="25">
        <v>3.5999999999999997E-2</v>
      </c>
      <c r="J131" s="25">
        <v>16.399999999999999</v>
      </c>
      <c r="K131" s="162">
        <f t="shared" si="26"/>
        <v>0</v>
      </c>
      <c r="L131" s="162">
        <f t="shared" si="27"/>
        <v>0</v>
      </c>
      <c r="M131" s="25"/>
      <c r="N131" s="29" t="s">
        <v>619</v>
      </c>
      <c r="O131" s="29"/>
      <c r="P131" s="235" t="s">
        <v>864</v>
      </c>
      <c r="Q131" s="146">
        <f t="shared" si="28"/>
        <v>25440</v>
      </c>
      <c r="R131" s="146">
        <f t="shared" si="29"/>
        <v>1060</v>
      </c>
      <c r="S131" s="134"/>
      <c r="T131" s="138">
        <f t="shared" si="30"/>
        <v>0</v>
      </c>
    </row>
    <row r="132" spans="1:20" ht="25.5" hidden="1">
      <c r="A132" s="58" t="s">
        <v>496</v>
      </c>
      <c r="B132" s="54" t="s">
        <v>497</v>
      </c>
      <c r="C132" s="25">
        <v>9</v>
      </c>
      <c r="D132" s="52" t="s">
        <v>166</v>
      </c>
      <c r="E132" s="52" t="s">
        <v>135</v>
      </c>
      <c r="F132" s="27">
        <f>H132*48</f>
        <v>26240</v>
      </c>
      <c r="G132" s="27">
        <v>410</v>
      </c>
      <c r="H132" s="57">
        <f t="shared" si="31"/>
        <v>546.66666666666663</v>
      </c>
      <c r="I132" s="57"/>
      <c r="J132" s="57"/>
      <c r="K132" s="162">
        <f t="shared" si="26"/>
        <v>0</v>
      </c>
      <c r="L132" s="162">
        <f t="shared" si="27"/>
        <v>0</v>
      </c>
      <c r="M132" s="25" t="s">
        <v>498</v>
      </c>
      <c r="N132" s="29" t="s">
        <v>619</v>
      </c>
      <c r="O132" s="29"/>
      <c r="P132" s="97" t="s">
        <v>490</v>
      </c>
      <c r="Q132" s="146">
        <f t="shared" si="28"/>
        <v>26240</v>
      </c>
      <c r="R132" s="146">
        <f t="shared" si="29"/>
        <v>546.66666666666663</v>
      </c>
      <c r="S132" s="134"/>
      <c r="T132" s="138">
        <f t="shared" si="30"/>
        <v>0</v>
      </c>
    </row>
    <row r="133" spans="1:20" hidden="1">
      <c r="A133" s="60" t="s">
        <v>499</v>
      </c>
      <c r="B133" s="61" t="s">
        <v>500</v>
      </c>
      <c r="C133" s="24">
        <v>10</v>
      </c>
      <c r="D133" s="38" t="s">
        <v>166</v>
      </c>
      <c r="E133" s="38" t="s">
        <v>300</v>
      </c>
      <c r="F133" s="27">
        <f t="shared" ref="F133:F146" si="32">H133*E133</f>
        <v>30240</v>
      </c>
      <c r="G133" s="107">
        <v>630</v>
      </c>
      <c r="H133" s="57">
        <f t="shared" si="31"/>
        <v>840</v>
      </c>
      <c r="I133" s="57"/>
      <c r="J133" s="57"/>
      <c r="K133" s="162">
        <f t="shared" si="26"/>
        <v>0</v>
      </c>
      <c r="L133" s="162">
        <f t="shared" si="27"/>
        <v>0</v>
      </c>
      <c r="M133" s="61"/>
      <c r="N133" s="29" t="s">
        <v>619</v>
      </c>
      <c r="O133" s="29"/>
      <c r="P133" s="97" t="s">
        <v>490</v>
      </c>
      <c r="Q133" s="146">
        <f t="shared" si="28"/>
        <v>30240</v>
      </c>
      <c r="R133" s="146">
        <f t="shared" si="29"/>
        <v>840</v>
      </c>
      <c r="S133" s="134"/>
      <c r="T133" s="138">
        <f t="shared" si="30"/>
        <v>0</v>
      </c>
    </row>
    <row r="134" spans="1:20" hidden="1">
      <c r="A134" s="60" t="s">
        <v>139</v>
      </c>
      <c r="B134" s="61" t="s">
        <v>140</v>
      </c>
      <c r="C134" s="24">
        <v>12</v>
      </c>
      <c r="D134" s="38" t="s">
        <v>131</v>
      </c>
      <c r="E134" s="38" t="s">
        <v>648</v>
      </c>
      <c r="F134" s="27">
        <f t="shared" si="32"/>
        <v>22240</v>
      </c>
      <c r="G134" s="107">
        <v>695</v>
      </c>
      <c r="H134" s="57">
        <f t="shared" si="31"/>
        <v>926.66666666666674</v>
      </c>
      <c r="I134" s="57"/>
      <c r="J134" s="57"/>
      <c r="K134" s="162">
        <f t="shared" si="26"/>
        <v>0</v>
      </c>
      <c r="L134" s="162">
        <f t="shared" si="27"/>
        <v>0</v>
      </c>
      <c r="M134" s="25"/>
      <c r="N134" s="29" t="s">
        <v>619</v>
      </c>
      <c r="O134" s="29"/>
      <c r="P134" s="97" t="s">
        <v>490</v>
      </c>
      <c r="Q134" s="146">
        <f t="shared" si="28"/>
        <v>22240</v>
      </c>
      <c r="R134" s="146">
        <f t="shared" si="29"/>
        <v>926.66666666666674</v>
      </c>
      <c r="S134" s="134"/>
      <c r="T134" s="138">
        <f t="shared" si="30"/>
        <v>0</v>
      </c>
    </row>
    <row r="135" spans="1:20">
      <c r="A135" s="58" t="s">
        <v>141</v>
      </c>
      <c r="B135" s="54" t="s">
        <v>847</v>
      </c>
      <c r="C135" s="25">
        <v>16</v>
      </c>
      <c r="D135" s="52" t="s">
        <v>131</v>
      </c>
      <c r="E135" s="52" t="s">
        <v>648</v>
      </c>
      <c r="F135" s="27">
        <f t="shared" si="32"/>
        <v>32400</v>
      </c>
      <c r="G135" s="27">
        <v>1160</v>
      </c>
      <c r="H135" s="57">
        <v>1350</v>
      </c>
      <c r="I135" s="167">
        <v>3.2000000000000001E-2</v>
      </c>
      <c r="J135" s="168">
        <v>14.9</v>
      </c>
      <c r="K135" s="162">
        <f t="shared" si="26"/>
        <v>0</v>
      </c>
      <c r="L135" s="162">
        <f t="shared" si="27"/>
        <v>0</v>
      </c>
      <c r="M135" s="14" t="s">
        <v>128</v>
      </c>
      <c r="N135" s="126" t="s">
        <v>619</v>
      </c>
      <c r="O135" s="29"/>
      <c r="P135" s="232" t="s">
        <v>863</v>
      </c>
      <c r="Q135" s="146">
        <f t="shared" si="28"/>
        <v>32400</v>
      </c>
      <c r="R135" s="146">
        <f t="shared" si="29"/>
        <v>1350</v>
      </c>
      <c r="S135" s="134"/>
      <c r="T135" s="138">
        <f t="shared" si="30"/>
        <v>0</v>
      </c>
    </row>
    <row r="136" spans="1:20" hidden="1">
      <c r="A136" s="58" t="s">
        <v>142</v>
      </c>
      <c r="B136" s="54" t="s">
        <v>143</v>
      </c>
      <c r="C136" s="25">
        <v>25</v>
      </c>
      <c r="D136" s="52" t="s">
        <v>131</v>
      </c>
      <c r="E136" s="52" t="s">
        <v>313</v>
      </c>
      <c r="F136" s="27">
        <f t="shared" si="32"/>
        <v>32320</v>
      </c>
      <c r="G136" s="57">
        <v>1515</v>
      </c>
      <c r="H136" s="57">
        <f t="shared" si="31"/>
        <v>2020</v>
      </c>
      <c r="I136" s="57"/>
      <c r="J136" s="57"/>
      <c r="K136" s="162">
        <f t="shared" si="26"/>
        <v>0</v>
      </c>
      <c r="L136" s="162">
        <f t="shared" si="27"/>
        <v>0</v>
      </c>
      <c r="M136" s="25"/>
      <c r="N136" s="29" t="s">
        <v>619</v>
      </c>
      <c r="O136" s="29"/>
      <c r="P136" s="97" t="s">
        <v>490</v>
      </c>
      <c r="Q136" s="146">
        <f t="shared" si="28"/>
        <v>32320</v>
      </c>
      <c r="R136" s="146">
        <f t="shared" si="29"/>
        <v>2020</v>
      </c>
      <c r="S136" s="134"/>
      <c r="T136" s="138">
        <f t="shared" si="30"/>
        <v>0</v>
      </c>
    </row>
    <row r="137" spans="1:20" ht="25.5">
      <c r="A137" s="58" t="s">
        <v>144</v>
      </c>
      <c r="B137" s="54" t="s">
        <v>145</v>
      </c>
      <c r="C137" s="25" t="s">
        <v>146</v>
      </c>
      <c r="D137" s="52" t="s">
        <v>131</v>
      </c>
      <c r="E137" s="52" t="s">
        <v>650</v>
      </c>
      <c r="F137" s="27">
        <f t="shared" si="32"/>
        <v>39600</v>
      </c>
      <c r="G137" s="57">
        <v>1650</v>
      </c>
      <c r="H137" s="57">
        <v>2200</v>
      </c>
      <c r="I137" s="25">
        <v>4.2000000000000003E-2</v>
      </c>
      <c r="J137" s="25">
        <v>20.399999999999999</v>
      </c>
      <c r="K137" s="162">
        <f t="shared" si="26"/>
        <v>0</v>
      </c>
      <c r="L137" s="162">
        <f t="shared" si="27"/>
        <v>0</v>
      </c>
      <c r="M137" s="22" t="s">
        <v>147</v>
      </c>
      <c r="N137" s="29" t="s">
        <v>619</v>
      </c>
      <c r="O137" s="29"/>
      <c r="P137" s="232" t="s">
        <v>865</v>
      </c>
      <c r="Q137" s="146">
        <f t="shared" si="28"/>
        <v>39600</v>
      </c>
      <c r="R137" s="146">
        <f t="shared" si="29"/>
        <v>2200</v>
      </c>
      <c r="S137" s="134"/>
      <c r="T137" s="138">
        <f t="shared" si="30"/>
        <v>0</v>
      </c>
    </row>
    <row r="138" spans="1:20" ht="25.5">
      <c r="A138" s="58" t="s">
        <v>501</v>
      </c>
      <c r="B138" s="54" t="s">
        <v>746</v>
      </c>
      <c r="C138" s="25">
        <v>49</v>
      </c>
      <c r="D138" s="52" t="s">
        <v>131</v>
      </c>
      <c r="E138" s="52" t="s">
        <v>651</v>
      </c>
      <c r="F138" s="27">
        <f t="shared" si="32"/>
        <v>29600</v>
      </c>
      <c r="G138" s="57">
        <v>4080</v>
      </c>
      <c r="H138" s="57">
        <v>3700</v>
      </c>
      <c r="I138" s="57"/>
      <c r="J138" s="57"/>
      <c r="K138" s="162">
        <f t="shared" si="26"/>
        <v>0</v>
      </c>
      <c r="L138" s="162">
        <f t="shared" si="27"/>
        <v>0</v>
      </c>
      <c r="M138" s="54"/>
      <c r="N138" s="29" t="s">
        <v>619</v>
      </c>
      <c r="O138" s="29"/>
      <c r="P138" s="232" t="s">
        <v>865</v>
      </c>
      <c r="Q138" s="146">
        <f t="shared" si="28"/>
        <v>29600</v>
      </c>
      <c r="R138" s="146">
        <f t="shared" si="29"/>
        <v>3700</v>
      </c>
      <c r="S138" s="134"/>
      <c r="T138" s="138">
        <f t="shared" si="30"/>
        <v>0</v>
      </c>
    </row>
    <row r="139" spans="1:20">
      <c r="A139" s="58" t="s">
        <v>148</v>
      </c>
      <c r="B139" s="54" t="s">
        <v>149</v>
      </c>
      <c r="C139" s="25">
        <v>49</v>
      </c>
      <c r="D139" s="52" t="s">
        <v>131</v>
      </c>
      <c r="E139" s="52" t="s">
        <v>651</v>
      </c>
      <c r="F139" s="27">
        <f t="shared" si="32"/>
        <v>29600</v>
      </c>
      <c r="G139" s="27">
        <v>4080</v>
      </c>
      <c r="H139" s="57">
        <v>3700</v>
      </c>
      <c r="I139" s="57"/>
      <c r="J139" s="57"/>
      <c r="K139" s="162">
        <f t="shared" si="26"/>
        <v>0</v>
      </c>
      <c r="L139" s="162">
        <f t="shared" si="27"/>
        <v>0</v>
      </c>
      <c r="M139" s="25"/>
      <c r="N139" s="29" t="s">
        <v>619</v>
      </c>
      <c r="O139" s="29"/>
      <c r="P139" s="232" t="s">
        <v>863</v>
      </c>
      <c r="Q139" s="146">
        <f t="shared" si="28"/>
        <v>29600</v>
      </c>
      <c r="R139" s="146">
        <f t="shared" si="29"/>
        <v>3700</v>
      </c>
      <c r="S139" s="134"/>
      <c r="T139" s="138">
        <f t="shared" si="30"/>
        <v>0</v>
      </c>
    </row>
    <row r="140" spans="1:20" hidden="1">
      <c r="A140" s="60" t="s">
        <v>150</v>
      </c>
      <c r="B140" s="61" t="s">
        <v>151</v>
      </c>
      <c r="C140" s="24">
        <v>6</v>
      </c>
      <c r="D140" s="38" t="s">
        <v>152</v>
      </c>
      <c r="E140" s="38" t="s">
        <v>648</v>
      </c>
      <c r="F140" s="27">
        <f t="shared" si="32"/>
        <v>20000</v>
      </c>
      <c r="G140" s="107">
        <v>625</v>
      </c>
      <c r="H140" s="57">
        <f t="shared" si="31"/>
        <v>833.33333333333337</v>
      </c>
      <c r="I140" s="57"/>
      <c r="J140" s="57"/>
      <c r="K140" s="162">
        <f t="shared" si="26"/>
        <v>0</v>
      </c>
      <c r="L140" s="162">
        <f t="shared" si="27"/>
        <v>0</v>
      </c>
      <c r="M140" s="25"/>
      <c r="N140" s="29" t="s">
        <v>619</v>
      </c>
      <c r="O140" s="29"/>
      <c r="P140" s="97" t="s">
        <v>490</v>
      </c>
      <c r="Q140" s="146">
        <f t="shared" si="28"/>
        <v>20000</v>
      </c>
      <c r="R140" s="146">
        <f t="shared" si="29"/>
        <v>833.33333333333337</v>
      </c>
      <c r="S140" s="134"/>
      <c r="T140" s="138">
        <f t="shared" si="30"/>
        <v>0</v>
      </c>
    </row>
    <row r="141" spans="1:20">
      <c r="A141" s="58" t="s">
        <v>153</v>
      </c>
      <c r="B141" s="54" t="s">
        <v>154</v>
      </c>
      <c r="C141" s="25">
        <v>10</v>
      </c>
      <c r="D141" s="52" t="s">
        <v>152</v>
      </c>
      <c r="E141" s="52" t="s">
        <v>650</v>
      </c>
      <c r="F141" s="27">
        <f t="shared" si="32"/>
        <v>22200.000000000004</v>
      </c>
      <c r="G141" s="27">
        <v>925</v>
      </c>
      <c r="H141" s="57">
        <f t="shared" si="31"/>
        <v>1233.3333333333335</v>
      </c>
      <c r="I141" s="57"/>
      <c r="J141" s="57"/>
      <c r="K141" s="162">
        <f t="shared" si="26"/>
        <v>0</v>
      </c>
      <c r="L141" s="162">
        <f t="shared" si="27"/>
        <v>0</v>
      </c>
      <c r="M141" s="25"/>
      <c r="N141" s="29" t="s">
        <v>619</v>
      </c>
      <c r="O141" s="29"/>
      <c r="P141" s="232" t="s">
        <v>863</v>
      </c>
      <c r="Q141" s="146">
        <f t="shared" si="28"/>
        <v>22200.000000000004</v>
      </c>
      <c r="R141" s="146">
        <f t="shared" si="29"/>
        <v>1233.3333333333335</v>
      </c>
      <c r="S141" s="134"/>
      <c r="T141" s="138">
        <f t="shared" si="30"/>
        <v>0</v>
      </c>
    </row>
    <row r="142" spans="1:20" hidden="1">
      <c r="A142" s="58" t="s">
        <v>155</v>
      </c>
      <c r="B142" s="54" t="s">
        <v>745</v>
      </c>
      <c r="C142" s="25">
        <v>13</v>
      </c>
      <c r="D142" s="52" t="s">
        <v>152</v>
      </c>
      <c r="E142" s="52" t="s">
        <v>649</v>
      </c>
      <c r="F142" s="27">
        <f t="shared" si="32"/>
        <v>19840</v>
      </c>
      <c r="G142" s="27">
        <v>1240</v>
      </c>
      <c r="H142" s="57">
        <f t="shared" si="31"/>
        <v>1653.3333333333335</v>
      </c>
      <c r="I142" s="57"/>
      <c r="J142" s="57"/>
      <c r="K142" s="162">
        <f t="shared" si="26"/>
        <v>0</v>
      </c>
      <c r="L142" s="162">
        <f t="shared" si="27"/>
        <v>0</v>
      </c>
      <c r="M142" s="25"/>
      <c r="N142" s="29" t="s">
        <v>619</v>
      </c>
      <c r="O142" s="29"/>
      <c r="P142" s="97" t="s">
        <v>490</v>
      </c>
      <c r="Q142" s="146">
        <f t="shared" si="28"/>
        <v>19840</v>
      </c>
      <c r="R142" s="146">
        <f t="shared" si="29"/>
        <v>1653.3333333333335</v>
      </c>
      <c r="S142" s="134"/>
      <c r="T142" s="138">
        <f t="shared" si="30"/>
        <v>0</v>
      </c>
    </row>
    <row r="143" spans="1:20" hidden="1">
      <c r="A143" s="58" t="s">
        <v>157</v>
      </c>
      <c r="B143" s="54" t="s">
        <v>158</v>
      </c>
      <c r="C143" s="25">
        <v>16</v>
      </c>
      <c r="D143" s="52" t="s">
        <v>152</v>
      </c>
      <c r="E143" s="52" t="s">
        <v>313</v>
      </c>
      <c r="F143" s="27">
        <f t="shared" si="32"/>
        <v>28373.333333333336</v>
      </c>
      <c r="G143" s="27">
        <v>1330</v>
      </c>
      <c r="H143" s="57">
        <f t="shared" si="31"/>
        <v>1773.3333333333335</v>
      </c>
      <c r="I143" s="57"/>
      <c r="J143" s="57"/>
      <c r="K143" s="162">
        <f t="shared" si="26"/>
        <v>0</v>
      </c>
      <c r="L143" s="162">
        <f t="shared" si="27"/>
        <v>0</v>
      </c>
      <c r="M143" s="25"/>
      <c r="N143" s="29" t="s">
        <v>619</v>
      </c>
      <c r="O143" s="29"/>
      <c r="P143" s="97" t="s">
        <v>490</v>
      </c>
      <c r="Q143" s="146">
        <f t="shared" si="28"/>
        <v>28373.333333333336</v>
      </c>
      <c r="R143" s="146">
        <f t="shared" si="29"/>
        <v>1773.3333333333335</v>
      </c>
      <c r="S143" s="134"/>
      <c r="T143" s="138">
        <f t="shared" si="30"/>
        <v>0</v>
      </c>
    </row>
    <row r="144" spans="1:20">
      <c r="A144" s="58" t="s">
        <v>502</v>
      </c>
      <c r="B144" s="54" t="s">
        <v>503</v>
      </c>
      <c r="C144" s="25">
        <v>19</v>
      </c>
      <c r="D144" s="52" t="s">
        <v>152</v>
      </c>
      <c r="E144" s="52" t="s">
        <v>649</v>
      </c>
      <c r="F144" s="27">
        <f t="shared" si="32"/>
        <v>23880</v>
      </c>
      <c r="G144" s="27">
        <v>1710</v>
      </c>
      <c r="H144" s="57">
        <v>1990</v>
      </c>
      <c r="I144" s="25">
        <v>5.6000000000000001E-2</v>
      </c>
      <c r="J144" s="25">
        <v>18.899999999999999</v>
      </c>
      <c r="K144" s="162">
        <f t="shared" si="26"/>
        <v>0</v>
      </c>
      <c r="L144" s="162">
        <f t="shared" si="27"/>
        <v>0</v>
      </c>
      <c r="M144" s="54"/>
      <c r="N144" s="29" t="s">
        <v>619</v>
      </c>
      <c r="O144" s="29"/>
      <c r="P144" s="232" t="s">
        <v>863</v>
      </c>
      <c r="Q144" s="146">
        <f t="shared" si="28"/>
        <v>23880</v>
      </c>
      <c r="R144" s="146">
        <f t="shared" si="29"/>
        <v>1990</v>
      </c>
      <c r="S144" s="134"/>
      <c r="T144" s="138">
        <f t="shared" si="30"/>
        <v>0</v>
      </c>
    </row>
    <row r="145" spans="1:20" hidden="1">
      <c r="A145" s="58" t="s">
        <v>159</v>
      </c>
      <c r="B145" s="54" t="s">
        <v>160</v>
      </c>
      <c r="C145" s="25">
        <v>25</v>
      </c>
      <c r="D145" s="52" t="s">
        <v>152</v>
      </c>
      <c r="E145" s="52" t="s">
        <v>649</v>
      </c>
      <c r="F145" s="27">
        <f t="shared" si="32"/>
        <v>40160</v>
      </c>
      <c r="G145" s="57">
        <v>2510</v>
      </c>
      <c r="H145" s="57">
        <f t="shared" si="31"/>
        <v>3346.666666666667</v>
      </c>
      <c r="I145" s="57"/>
      <c r="J145" s="57"/>
      <c r="K145" s="162">
        <f t="shared" si="26"/>
        <v>0</v>
      </c>
      <c r="L145" s="162">
        <f t="shared" si="27"/>
        <v>0</v>
      </c>
      <c r="M145" s="25"/>
      <c r="N145" s="29" t="s">
        <v>619</v>
      </c>
      <c r="O145" s="29"/>
      <c r="P145" s="97" t="s">
        <v>490</v>
      </c>
      <c r="Q145" s="146">
        <f t="shared" si="28"/>
        <v>40160</v>
      </c>
      <c r="R145" s="146">
        <f t="shared" si="29"/>
        <v>3346.666666666667</v>
      </c>
      <c r="S145" s="134"/>
      <c r="T145" s="138">
        <f t="shared" si="30"/>
        <v>0</v>
      </c>
    </row>
    <row r="146" spans="1:20" hidden="1">
      <c r="A146" s="58" t="s">
        <v>161</v>
      </c>
      <c r="B146" s="54" t="s">
        <v>162</v>
      </c>
      <c r="C146" s="25">
        <v>25</v>
      </c>
      <c r="D146" s="52" t="s">
        <v>152</v>
      </c>
      <c r="E146" s="52" t="s">
        <v>651</v>
      </c>
      <c r="F146" s="27">
        <f t="shared" si="32"/>
        <v>26773.333333333336</v>
      </c>
      <c r="G146" s="57">
        <v>2510</v>
      </c>
      <c r="H146" s="57">
        <f t="shared" si="31"/>
        <v>3346.666666666667</v>
      </c>
      <c r="I146" s="57"/>
      <c r="J146" s="57"/>
      <c r="K146" s="162">
        <f t="shared" si="26"/>
        <v>0</v>
      </c>
      <c r="L146" s="162">
        <f t="shared" si="27"/>
        <v>0</v>
      </c>
      <c r="M146" s="25"/>
      <c r="N146" s="29" t="s">
        <v>619</v>
      </c>
      <c r="O146" s="29"/>
      <c r="P146" s="97" t="s">
        <v>490</v>
      </c>
      <c r="Q146" s="146">
        <f t="shared" si="28"/>
        <v>26773.333333333336</v>
      </c>
      <c r="R146" s="146">
        <f t="shared" si="29"/>
        <v>3346.666666666667</v>
      </c>
      <c r="S146" s="134"/>
      <c r="T146" s="138">
        <f t="shared" si="30"/>
        <v>0</v>
      </c>
    </row>
    <row r="147" spans="1:20">
      <c r="A147" s="188" t="s">
        <v>163</v>
      </c>
      <c r="B147" s="156"/>
      <c r="C147" s="156"/>
      <c r="D147" s="156"/>
      <c r="E147" s="156"/>
      <c r="F147" s="156"/>
      <c r="G147" s="156"/>
      <c r="H147" s="156"/>
      <c r="I147" s="189"/>
      <c r="J147" s="189"/>
      <c r="K147" s="156"/>
      <c r="L147" s="156"/>
      <c r="M147" s="156"/>
      <c r="N147" s="156"/>
      <c r="O147" s="156"/>
      <c r="P147" s="173"/>
      <c r="Q147" s="149"/>
      <c r="R147" s="149"/>
      <c r="T147" s="139"/>
    </row>
    <row r="148" spans="1:20">
      <c r="A148" s="58" t="s">
        <v>164</v>
      </c>
      <c r="B148" s="54" t="s">
        <v>165</v>
      </c>
      <c r="C148" s="25">
        <v>81</v>
      </c>
      <c r="D148" s="52" t="s">
        <v>166</v>
      </c>
      <c r="E148" s="52" t="s">
        <v>653</v>
      </c>
      <c r="F148" s="27">
        <f t="shared" ref="F148:F166" si="33">H148*E148</f>
        <v>23600</v>
      </c>
      <c r="G148" s="57">
        <v>4650</v>
      </c>
      <c r="H148" s="57">
        <v>5900</v>
      </c>
      <c r="I148" s="25">
        <v>8.1000000000000003E-2</v>
      </c>
      <c r="J148" s="25">
        <v>29.3</v>
      </c>
      <c r="K148" s="162">
        <f t="shared" ref="K148:K166" si="34">I148*S148</f>
        <v>0</v>
      </c>
      <c r="L148" s="162">
        <f t="shared" ref="L148:L166" si="35">J148*S148</f>
        <v>0</v>
      </c>
      <c r="M148" s="15"/>
      <c r="N148" s="64" t="s">
        <v>619</v>
      </c>
      <c r="O148" s="64"/>
      <c r="P148" s="232" t="s">
        <v>863</v>
      </c>
      <c r="Q148" s="146">
        <f t="shared" ref="Q148:Q166" si="36">F148*(1-$Q$10)</f>
        <v>23600</v>
      </c>
      <c r="R148" s="146">
        <f t="shared" ref="R148:R166" si="37">H148*(1-$Q$10)</f>
        <v>5900</v>
      </c>
      <c r="S148" s="134"/>
      <c r="T148" s="138">
        <f t="shared" ref="T148:T166" si="38">S148*Q148</f>
        <v>0</v>
      </c>
    </row>
    <row r="149" spans="1:20" ht="21">
      <c r="A149" s="58" t="s">
        <v>167</v>
      </c>
      <c r="B149" s="54" t="s">
        <v>168</v>
      </c>
      <c r="C149" s="25">
        <v>90</v>
      </c>
      <c r="D149" s="52" t="s">
        <v>166</v>
      </c>
      <c r="E149" s="52" t="s">
        <v>653</v>
      </c>
      <c r="F149" s="27">
        <f t="shared" si="33"/>
        <v>34773.333333333336</v>
      </c>
      <c r="G149" s="57">
        <v>6520</v>
      </c>
      <c r="H149" s="57">
        <f t="shared" ref="H149:H163" si="39">G149/75*100</f>
        <v>8693.3333333333339</v>
      </c>
      <c r="I149" s="25">
        <v>5.1999999999999998E-2</v>
      </c>
      <c r="J149" s="25">
        <v>19.399999999999999</v>
      </c>
      <c r="K149" s="162">
        <f t="shared" si="34"/>
        <v>0</v>
      </c>
      <c r="L149" s="162">
        <f t="shared" si="35"/>
        <v>0</v>
      </c>
      <c r="M149" s="15"/>
      <c r="N149" s="64" t="s">
        <v>619</v>
      </c>
      <c r="O149" s="126" t="s">
        <v>845</v>
      </c>
      <c r="P149" s="232" t="s">
        <v>863</v>
      </c>
      <c r="Q149" s="146">
        <f t="shared" si="36"/>
        <v>34773.333333333336</v>
      </c>
      <c r="R149" s="146">
        <f t="shared" si="37"/>
        <v>8693.3333333333339</v>
      </c>
      <c r="S149" s="134"/>
      <c r="T149" s="138">
        <f t="shared" si="38"/>
        <v>0</v>
      </c>
    </row>
    <row r="150" spans="1:20">
      <c r="A150" s="58" t="s">
        <v>169</v>
      </c>
      <c r="B150" s="54" t="s">
        <v>747</v>
      </c>
      <c r="C150" s="25">
        <v>150</v>
      </c>
      <c r="D150" s="52" t="s">
        <v>166</v>
      </c>
      <c r="E150" s="52" t="s">
        <v>657</v>
      </c>
      <c r="F150" s="27">
        <f t="shared" si="33"/>
        <v>21800</v>
      </c>
      <c r="G150" s="57">
        <v>9290</v>
      </c>
      <c r="H150" s="57">
        <v>10900</v>
      </c>
      <c r="I150" s="25">
        <v>3.2000000000000001E-2</v>
      </c>
      <c r="J150" s="25">
        <v>13.1</v>
      </c>
      <c r="K150" s="162">
        <f t="shared" si="34"/>
        <v>0</v>
      </c>
      <c r="L150" s="162">
        <f t="shared" si="35"/>
        <v>0</v>
      </c>
      <c r="M150" s="15"/>
      <c r="N150" s="64" t="s">
        <v>619</v>
      </c>
      <c r="O150" s="64"/>
      <c r="P150" s="232" t="s">
        <v>863</v>
      </c>
      <c r="Q150" s="146">
        <f t="shared" si="36"/>
        <v>21800</v>
      </c>
      <c r="R150" s="146">
        <f t="shared" si="37"/>
        <v>10900</v>
      </c>
      <c r="S150" s="134"/>
      <c r="T150" s="138">
        <f t="shared" si="38"/>
        <v>0</v>
      </c>
    </row>
    <row r="151" spans="1:20" ht="26.25" hidden="1">
      <c r="A151" s="58" t="s">
        <v>170</v>
      </c>
      <c r="B151" s="54" t="s">
        <v>171</v>
      </c>
      <c r="C151" s="25">
        <v>280</v>
      </c>
      <c r="D151" s="52" t="s">
        <v>166</v>
      </c>
      <c r="E151" s="52" t="s">
        <v>658</v>
      </c>
      <c r="F151" s="27">
        <f t="shared" si="33"/>
        <v>31933.333333333332</v>
      </c>
      <c r="G151" s="57">
        <v>23950</v>
      </c>
      <c r="H151" s="57">
        <f t="shared" si="39"/>
        <v>31933.333333333332</v>
      </c>
      <c r="I151" s="57"/>
      <c r="J151" s="57"/>
      <c r="K151" s="162">
        <f t="shared" si="34"/>
        <v>0</v>
      </c>
      <c r="L151" s="162">
        <f t="shared" si="35"/>
        <v>0</v>
      </c>
      <c r="M151" s="14" t="s">
        <v>172</v>
      </c>
      <c r="N151" s="64" t="s">
        <v>619</v>
      </c>
      <c r="O151" s="64"/>
      <c r="P151" s="97" t="s">
        <v>490</v>
      </c>
      <c r="Q151" s="146">
        <f t="shared" si="36"/>
        <v>31933.333333333332</v>
      </c>
      <c r="R151" s="146">
        <f t="shared" si="37"/>
        <v>31933.333333333332</v>
      </c>
      <c r="S151" s="134"/>
      <c r="T151" s="138">
        <f t="shared" si="38"/>
        <v>0</v>
      </c>
    </row>
    <row r="152" spans="1:20" ht="64.5">
      <c r="A152" s="58" t="s">
        <v>813</v>
      </c>
      <c r="B152" s="54" t="s">
        <v>848</v>
      </c>
      <c r="C152" s="25">
        <v>100</v>
      </c>
      <c r="D152" s="52" t="s">
        <v>152</v>
      </c>
      <c r="E152" s="52" t="s">
        <v>657</v>
      </c>
      <c r="F152" s="27">
        <f t="shared" si="33"/>
        <v>24000</v>
      </c>
      <c r="G152" s="57">
        <v>9000</v>
      </c>
      <c r="H152" s="57">
        <f t="shared" si="39"/>
        <v>12000</v>
      </c>
      <c r="I152" s="25">
        <v>3.9E-2</v>
      </c>
      <c r="J152" s="25">
        <v>16.5</v>
      </c>
      <c r="K152" s="162">
        <f t="shared" si="34"/>
        <v>0</v>
      </c>
      <c r="L152" s="162">
        <f t="shared" si="35"/>
        <v>0</v>
      </c>
      <c r="M152" s="15" t="s">
        <v>814</v>
      </c>
      <c r="N152" s="29" t="s">
        <v>619</v>
      </c>
      <c r="O152" s="126" t="s">
        <v>845</v>
      </c>
      <c r="P152" s="232" t="s">
        <v>863</v>
      </c>
      <c r="Q152" s="146">
        <f t="shared" si="36"/>
        <v>24000</v>
      </c>
      <c r="R152" s="146">
        <f t="shared" si="37"/>
        <v>12000</v>
      </c>
      <c r="S152" s="134"/>
      <c r="T152" s="138">
        <f t="shared" si="38"/>
        <v>0</v>
      </c>
    </row>
    <row r="153" spans="1:20">
      <c r="A153" s="58" t="s">
        <v>173</v>
      </c>
      <c r="B153" s="54" t="s">
        <v>174</v>
      </c>
      <c r="C153" s="25">
        <v>100</v>
      </c>
      <c r="D153" s="52" t="s">
        <v>152</v>
      </c>
      <c r="E153" s="52" t="s">
        <v>657</v>
      </c>
      <c r="F153" s="27">
        <f t="shared" si="33"/>
        <v>24000</v>
      </c>
      <c r="G153" s="57">
        <v>10650</v>
      </c>
      <c r="H153" s="57">
        <v>12000</v>
      </c>
      <c r="I153" s="167">
        <v>4.2000000000000003E-2</v>
      </c>
      <c r="J153" s="168">
        <v>18.2</v>
      </c>
      <c r="K153" s="162">
        <f t="shared" si="34"/>
        <v>0</v>
      </c>
      <c r="L153" s="162">
        <f t="shared" si="35"/>
        <v>0</v>
      </c>
      <c r="M153" s="15"/>
      <c r="N153" s="64" t="s">
        <v>619</v>
      </c>
      <c r="O153" s="64"/>
      <c r="P153" s="232" t="s">
        <v>863</v>
      </c>
      <c r="Q153" s="146">
        <f t="shared" si="36"/>
        <v>24000</v>
      </c>
      <c r="R153" s="146">
        <f t="shared" si="37"/>
        <v>12000</v>
      </c>
      <c r="S153" s="134"/>
      <c r="T153" s="138">
        <f t="shared" si="38"/>
        <v>0</v>
      </c>
    </row>
    <row r="154" spans="1:20">
      <c r="A154" s="58" t="s">
        <v>175</v>
      </c>
      <c r="B154" s="54" t="s">
        <v>699</v>
      </c>
      <c r="C154" s="25" t="s">
        <v>176</v>
      </c>
      <c r="D154" s="52" t="s">
        <v>152</v>
      </c>
      <c r="E154" s="52" t="s">
        <v>657</v>
      </c>
      <c r="F154" s="27">
        <f t="shared" si="33"/>
        <v>24400</v>
      </c>
      <c r="G154" s="57">
        <v>13867</v>
      </c>
      <c r="H154" s="57">
        <v>12200</v>
      </c>
      <c r="I154" s="57"/>
      <c r="J154" s="57"/>
      <c r="K154" s="162">
        <f t="shared" si="34"/>
        <v>0</v>
      </c>
      <c r="L154" s="162">
        <f t="shared" si="35"/>
        <v>0</v>
      </c>
      <c r="M154" s="14" t="s">
        <v>128</v>
      </c>
      <c r="N154" s="64" t="s">
        <v>619</v>
      </c>
      <c r="O154" s="64"/>
      <c r="P154" s="232" t="s">
        <v>863</v>
      </c>
      <c r="Q154" s="146">
        <f t="shared" si="36"/>
        <v>24400</v>
      </c>
      <c r="R154" s="146">
        <f t="shared" si="37"/>
        <v>12200</v>
      </c>
      <c r="S154" s="134"/>
      <c r="T154" s="138">
        <f t="shared" si="38"/>
        <v>0</v>
      </c>
    </row>
    <row r="155" spans="1:20" ht="21">
      <c r="A155" s="53" t="s">
        <v>654</v>
      </c>
      <c r="B155" s="54" t="s">
        <v>698</v>
      </c>
      <c r="C155" s="55">
        <v>100</v>
      </c>
      <c r="D155" s="55" t="s">
        <v>152</v>
      </c>
      <c r="E155" s="55">
        <v>2</v>
      </c>
      <c r="F155" s="27">
        <f t="shared" si="33"/>
        <v>26133.333333333332</v>
      </c>
      <c r="G155" s="57">
        <v>9800</v>
      </c>
      <c r="H155" s="57">
        <f t="shared" si="39"/>
        <v>13066.666666666666</v>
      </c>
      <c r="I155" s="25">
        <v>3.9E-2</v>
      </c>
      <c r="J155" s="168">
        <v>16.8</v>
      </c>
      <c r="K155" s="162">
        <f t="shared" si="34"/>
        <v>0</v>
      </c>
      <c r="L155" s="162">
        <f t="shared" si="35"/>
        <v>0</v>
      </c>
      <c r="M155" s="18"/>
      <c r="N155" s="64" t="s">
        <v>619</v>
      </c>
      <c r="O155" s="126" t="s">
        <v>845</v>
      </c>
      <c r="P155" s="232" t="s">
        <v>863</v>
      </c>
      <c r="Q155" s="146">
        <f t="shared" si="36"/>
        <v>26133.333333333332</v>
      </c>
      <c r="R155" s="146">
        <f t="shared" si="37"/>
        <v>13066.666666666666</v>
      </c>
      <c r="S155" s="134"/>
      <c r="T155" s="138">
        <f t="shared" si="38"/>
        <v>0</v>
      </c>
    </row>
    <row r="156" spans="1:20" hidden="1">
      <c r="A156" s="53" t="s">
        <v>655</v>
      </c>
      <c r="B156" s="54" t="s">
        <v>697</v>
      </c>
      <c r="C156" s="55">
        <v>250</v>
      </c>
      <c r="D156" s="55" t="s">
        <v>152</v>
      </c>
      <c r="E156" s="55">
        <v>1</v>
      </c>
      <c r="F156" s="27">
        <f t="shared" si="33"/>
        <v>35840</v>
      </c>
      <c r="G156" s="57">
        <v>26880</v>
      </c>
      <c r="H156" s="57">
        <f t="shared" si="39"/>
        <v>35840</v>
      </c>
      <c r="I156" s="57"/>
      <c r="J156" s="57"/>
      <c r="K156" s="162">
        <f t="shared" si="34"/>
        <v>0</v>
      </c>
      <c r="L156" s="162">
        <f t="shared" si="35"/>
        <v>0</v>
      </c>
      <c r="M156" s="18"/>
      <c r="N156" s="64" t="s">
        <v>619</v>
      </c>
      <c r="O156" s="64"/>
      <c r="P156" s="97" t="s">
        <v>490</v>
      </c>
      <c r="Q156" s="146">
        <f t="shared" si="36"/>
        <v>35840</v>
      </c>
      <c r="R156" s="146">
        <f t="shared" si="37"/>
        <v>35840</v>
      </c>
      <c r="S156" s="134"/>
      <c r="T156" s="138">
        <f t="shared" si="38"/>
        <v>0</v>
      </c>
    </row>
    <row r="157" spans="1:20" ht="25.5" hidden="1">
      <c r="A157" s="60" t="s">
        <v>504</v>
      </c>
      <c r="B157" s="61" t="s">
        <v>505</v>
      </c>
      <c r="C157" s="24">
        <v>50</v>
      </c>
      <c r="D157" s="38" t="s">
        <v>53</v>
      </c>
      <c r="E157" s="38" t="s">
        <v>653</v>
      </c>
      <c r="F157" s="27">
        <f t="shared" si="33"/>
        <v>29226.666666666664</v>
      </c>
      <c r="G157" s="63">
        <v>5480</v>
      </c>
      <c r="H157" s="57">
        <f t="shared" si="39"/>
        <v>7306.6666666666661</v>
      </c>
      <c r="I157" s="57"/>
      <c r="J157" s="57"/>
      <c r="K157" s="162">
        <f t="shared" si="34"/>
        <v>0</v>
      </c>
      <c r="L157" s="162">
        <f t="shared" si="35"/>
        <v>0</v>
      </c>
      <c r="M157" s="2"/>
      <c r="N157" s="64" t="s">
        <v>619</v>
      </c>
      <c r="O157" s="64"/>
      <c r="P157" s="97" t="s">
        <v>490</v>
      </c>
      <c r="Q157" s="146">
        <f t="shared" si="36"/>
        <v>29226.666666666664</v>
      </c>
      <c r="R157" s="146">
        <f t="shared" si="37"/>
        <v>7306.6666666666661</v>
      </c>
      <c r="S157" s="134"/>
      <c r="T157" s="138">
        <f t="shared" si="38"/>
        <v>0</v>
      </c>
    </row>
    <row r="158" spans="1:20" ht="25.5">
      <c r="A158" s="58" t="s">
        <v>177</v>
      </c>
      <c r="B158" s="54" t="s">
        <v>178</v>
      </c>
      <c r="C158" s="25">
        <v>50</v>
      </c>
      <c r="D158" s="52" t="s">
        <v>179</v>
      </c>
      <c r="E158" s="52" t="s">
        <v>653</v>
      </c>
      <c r="F158" s="27">
        <f t="shared" si="33"/>
        <v>27600</v>
      </c>
      <c r="G158" s="57">
        <v>5050</v>
      </c>
      <c r="H158" s="57">
        <v>6900</v>
      </c>
      <c r="I158" s="25">
        <v>3.9E-2</v>
      </c>
      <c r="J158" s="25">
        <v>15.2</v>
      </c>
      <c r="K158" s="162">
        <f t="shared" si="34"/>
        <v>0</v>
      </c>
      <c r="L158" s="162">
        <f t="shared" si="35"/>
        <v>0</v>
      </c>
      <c r="M158" s="15"/>
      <c r="N158" s="64" t="s">
        <v>619</v>
      </c>
      <c r="O158" s="64"/>
      <c r="P158" s="232" t="s">
        <v>863</v>
      </c>
      <c r="Q158" s="146">
        <f t="shared" si="36"/>
        <v>27600</v>
      </c>
      <c r="R158" s="146">
        <f t="shared" si="37"/>
        <v>6900</v>
      </c>
      <c r="S158" s="134"/>
      <c r="T158" s="138">
        <f t="shared" si="38"/>
        <v>0</v>
      </c>
    </row>
    <row r="159" spans="1:20" ht="25.5" hidden="1">
      <c r="A159" s="58" t="s">
        <v>180</v>
      </c>
      <c r="B159" s="54" t="s">
        <v>181</v>
      </c>
      <c r="C159" s="25">
        <v>100</v>
      </c>
      <c r="D159" s="52" t="s">
        <v>53</v>
      </c>
      <c r="E159" s="52" t="s">
        <v>657</v>
      </c>
      <c r="F159" s="27">
        <f t="shared" si="33"/>
        <v>23333.333333333336</v>
      </c>
      <c r="G159" s="57">
        <v>8750</v>
      </c>
      <c r="H159" s="57">
        <f t="shared" si="39"/>
        <v>11666.666666666668</v>
      </c>
      <c r="I159" s="57"/>
      <c r="J159" s="57"/>
      <c r="K159" s="162">
        <f t="shared" si="34"/>
        <v>0</v>
      </c>
      <c r="L159" s="162">
        <f t="shared" si="35"/>
        <v>0</v>
      </c>
      <c r="M159" s="15"/>
      <c r="N159" s="64" t="s">
        <v>619</v>
      </c>
      <c r="O159" s="64"/>
      <c r="P159" s="97" t="s">
        <v>490</v>
      </c>
      <c r="Q159" s="146">
        <f t="shared" si="36"/>
        <v>23333.333333333336</v>
      </c>
      <c r="R159" s="146">
        <f t="shared" si="37"/>
        <v>11666.666666666668</v>
      </c>
      <c r="S159" s="134"/>
      <c r="T159" s="138">
        <f t="shared" si="38"/>
        <v>0</v>
      </c>
    </row>
    <row r="160" spans="1:20" ht="26.25">
      <c r="A160" s="58" t="s">
        <v>182</v>
      </c>
      <c r="B160" s="54" t="s">
        <v>858</v>
      </c>
      <c r="C160" s="25" t="s">
        <v>183</v>
      </c>
      <c r="D160" s="52" t="s">
        <v>53</v>
      </c>
      <c r="E160" s="52" t="s">
        <v>658</v>
      </c>
      <c r="F160" s="27">
        <f t="shared" si="33"/>
        <v>28866.666666666668</v>
      </c>
      <c r="G160" s="57">
        <v>21650</v>
      </c>
      <c r="H160" s="57">
        <f>G160/75*100</f>
        <v>28866.666666666668</v>
      </c>
      <c r="I160" s="25">
        <v>4.2000000000000003E-2</v>
      </c>
      <c r="J160" s="25">
        <v>15.1</v>
      </c>
      <c r="K160" s="162">
        <f>I160*S160</f>
        <v>0</v>
      </c>
      <c r="L160" s="162">
        <f>J160*S160</f>
        <v>0</v>
      </c>
      <c r="M160" s="191" t="s">
        <v>184</v>
      </c>
      <c r="N160" s="64" t="s">
        <v>619</v>
      </c>
      <c r="O160" s="126" t="s">
        <v>845</v>
      </c>
      <c r="P160" s="232" t="s">
        <v>865</v>
      </c>
      <c r="Q160" s="146">
        <f>F160*(1-$Q$10)</f>
        <v>28866.666666666668</v>
      </c>
      <c r="R160" s="146">
        <f>H160*(1-$Q$10)</f>
        <v>28866.666666666668</v>
      </c>
      <c r="S160" s="134"/>
      <c r="T160" s="138">
        <f>S160*Q160</f>
        <v>0</v>
      </c>
    </row>
    <row r="161" spans="1:20" ht="38.25">
      <c r="A161" s="58" t="s">
        <v>185</v>
      </c>
      <c r="B161" s="54" t="s">
        <v>186</v>
      </c>
      <c r="C161" s="25">
        <v>67</v>
      </c>
      <c r="D161" s="52" t="s">
        <v>187</v>
      </c>
      <c r="E161" s="52" t="s">
        <v>657</v>
      </c>
      <c r="F161" s="27">
        <f t="shared" si="33"/>
        <v>29980</v>
      </c>
      <c r="G161" s="57">
        <v>18000</v>
      </c>
      <c r="H161" s="57">
        <v>14990</v>
      </c>
      <c r="I161" s="167">
        <v>0.06</v>
      </c>
      <c r="J161" s="168">
        <v>21.3</v>
      </c>
      <c r="K161" s="162">
        <f t="shared" si="34"/>
        <v>0</v>
      </c>
      <c r="L161" s="162">
        <f t="shared" si="35"/>
        <v>0</v>
      </c>
      <c r="M161" s="192"/>
      <c r="N161" s="64" t="s">
        <v>619</v>
      </c>
      <c r="O161" s="64"/>
      <c r="P161" s="232" t="s">
        <v>863</v>
      </c>
      <c r="Q161" s="146">
        <f t="shared" si="36"/>
        <v>29980</v>
      </c>
      <c r="R161" s="146">
        <f t="shared" si="37"/>
        <v>14990</v>
      </c>
      <c r="S161" s="134"/>
      <c r="T161" s="138">
        <f t="shared" si="38"/>
        <v>0</v>
      </c>
    </row>
    <row r="162" spans="1:20" ht="25.5">
      <c r="A162" s="58" t="s">
        <v>785</v>
      </c>
      <c r="B162" s="61" t="s">
        <v>775</v>
      </c>
      <c r="C162" s="25">
        <v>58</v>
      </c>
      <c r="D162" s="52" t="s">
        <v>700</v>
      </c>
      <c r="E162" s="52" t="s">
        <v>657</v>
      </c>
      <c r="F162" s="27">
        <f t="shared" si="33"/>
        <v>21000</v>
      </c>
      <c r="G162" s="57">
        <v>7080</v>
      </c>
      <c r="H162" s="57">
        <v>10500</v>
      </c>
      <c r="I162" s="167">
        <v>3.6999999999999998E-2</v>
      </c>
      <c r="J162" s="168">
        <v>14.4</v>
      </c>
      <c r="K162" s="162">
        <f t="shared" si="34"/>
        <v>0</v>
      </c>
      <c r="L162" s="162">
        <f t="shared" si="35"/>
        <v>0</v>
      </c>
      <c r="M162" s="2"/>
      <c r="N162" s="193" t="s">
        <v>619</v>
      </c>
      <c r="O162" s="193"/>
      <c r="P162" s="232" t="s">
        <v>863</v>
      </c>
      <c r="Q162" s="146">
        <f t="shared" si="36"/>
        <v>21000</v>
      </c>
      <c r="R162" s="146">
        <f t="shared" si="37"/>
        <v>10500</v>
      </c>
      <c r="S162" s="134"/>
      <c r="T162" s="138">
        <f t="shared" si="38"/>
        <v>0</v>
      </c>
    </row>
    <row r="163" spans="1:20" ht="26.25" hidden="1">
      <c r="A163" s="58" t="s">
        <v>506</v>
      </c>
      <c r="B163" s="54" t="s">
        <v>507</v>
      </c>
      <c r="C163" s="25">
        <v>250</v>
      </c>
      <c r="D163" s="52" t="s">
        <v>53</v>
      </c>
      <c r="E163" s="52" t="s">
        <v>658</v>
      </c>
      <c r="F163" s="27">
        <f t="shared" si="33"/>
        <v>33413.333333333336</v>
      </c>
      <c r="G163" s="57">
        <v>25060</v>
      </c>
      <c r="H163" s="57">
        <f t="shared" si="39"/>
        <v>33413.333333333336</v>
      </c>
      <c r="I163" s="57"/>
      <c r="J163" s="57"/>
      <c r="K163" s="162">
        <f t="shared" si="34"/>
        <v>0</v>
      </c>
      <c r="L163" s="162">
        <f t="shared" si="35"/>
        <v>0</v>
      </c>
      <c r="M163" s="194" t="s">
        <v>172</v>
      </c>
      <c r="N163" s="64" t="s">
        <v>619</v>
      </c>
      <c r="O163" s="64"/>
      <c r="P163" s="97" t="s">
        <v>490</v>
      </c>
      <c r="Q163" s="146">
        <f t="shared" si="36"/>
        <v>33413.333333333336</v>
      </c>
      <c r="R163" s="146">
        <f t="shared" si="37"/>
        <v>33413.333333333336</v>
      </c>
      <c r="S163" s="134"/>
      <c r="T163" s="138">
        <f t="shared" si="38"/>
        <v>0</v>
      </c>
    </row>
    <row r="164" spans="1:20" ht="26.25">
      <c r="A164" s="58" t="s">
        <v>188</v>
      </c>
      <c r="B164" s="54" t="s">
        <v>189</v>
      </c>
      <c r="C164" s="25">
        <v>150</v>
      </c>
      <c r="D164" s="52" t="s">
        <v>53</v>
      </c>
      <c r="E164" s="52" t="s">
        <v>658</v>
      </c>
      <c r="F164" s="27">
        <f t="shared" si="33"/>
        <v>19900</v>
      </c>
      <c r="G164" s="57">
        <v>16230</v>
      </c>
      <c r="H164" s="57">
        <v>19900</v>
      </c>
      <c r="I164" s="25">
        <v>0.03</v>
      </c>
      <c r="J164" s="25">
        <v>11.1</v>
      </c>
      <c r="K164" s="162">
        <f t="shared" si="34"/>
        <v>0</v>
      </c>
      <c r="L164" s="162">
        <f t="shared" si="35"/>
        <v>0</v>
      </c>
      <c r="M164" s="14" t="s">
        <v>184</v>
      </c>
      <c r="N164" s="64" t="s">
        <v>619</v>
      </c>
      <c r="O164" s="64"/>
      <c r="P164" s="232" t="s">
        <v>863</v>
      </c>
      <c r="Q164" s="146">
        <f t="shared" si="36"/>
        <v>19900</v>
      </c>
      <c r="R164" s="146">
        <f t="shared" si="37"/>
        <v>19900</v>
      </c>
      <c r="S164" s="134"/>
      <c r="T164" s="138">
        <f t="shared" si="38"/>
        <v>0</v>
      </c>
    </row>
    <row r="165" spans="1:20" ht="25.5">
      <c r="A165" s="53" t="s">
        <v>656</v>
      </c>
      <c r="B165" s="54" t="s">
        <v>703</v>
      </c>
      <c r="C165" s="55">
        <v>220</v>
      </c>
      <c r="D165" s="52" t="s">
        <v>53</v>
      </c>
      <c r="E165" s="55">
        <v>1</v>
      </c>
      <c r="F165" s="27">
        <f t="shared" si="33"/>
        <v>29050</v>
      </c>
      <c r="G165" s="57">
        <v>24000</v>
      </c>
      <c r="H165" s="57">
        <v>29050</v>
      </c>
      <c r="I165" s="25">
        <v>7.1999999999999995E-2</v>
      </c>
      <c r="J165" s="25">
        <v>19.600000000000001</v>
      </c>
      <c r="K165" s="162">
        <f t="shared" si="34"/>
        <v>0</v>
      </c>
      <c r="L165" s="162">
        <f t="shared" si="35"/>
        <v>0</v>
      </c>
      <c r="M165" s="18"/>
      <c r="N165" s="64" t="s">
        <v>619</v>
      </c>
      <c r="O165" s="64"/>
      <c r="P165" s="235" t="s">
        <v>864</v>
      </c>
      <c r="Q165" s="146">
        <f t="shared" si="36"/>
        <v>29050</v>
      </c>
      <c r="R165" s="146">
        <f t="shared" si="37"/>
        <v>29050</v>
      </c>
      <c r="S165" s="134"/>
      <c r="T165" s="138">
        <f t="shared" si="38"/>
        <v>0</v>
      </c>
    </row>
    <row r="166" spans="1:20" ht="25.5">
      <c r="A166" s="53" t="s">
        <v>702</v>
      </c>
      <c r="B166" s="54" t="s">
        <v>776</v>
      </c>
      <c r="C166" s="55">
        <v>168</v>
      </c>
      <c r="D166" s="52" t="s">
        <v>704</v>
      </c>
      <c r="E166" s="55">
        <v>1</v>
      </c>
      <c r="F166" s="27">
        <f t="shared" si="33"/>
        <v>21590</v>
      </c>
      <c r="G166" s="57">
        <v>23730</v>
      </c>
      <c r="H166" s="57">
        <v>21590</v>
      </c>
      <c r="I166" s="167">
        <v>5.7000000000000002E-2</v>
      </c>
      <c r="J166" s="168">
        <v>21.2</v>
      </c>
      <c r="K166" s="162">
        <f t="shared" si="34"/>
        <v>0</v>
      </c>
      <c r="L166" s="162">
        <f t="shared" si="35"/>
        <v>0</v>
      </c>
      <c r="M166" s="18"/>
      <c r="N166" s="193" t="s">
        <v>619</v>
      </c>
      <c r="O166" s="193"/>
      <c r="P166" s="235" t="s">
        <v>864</v>
      </c>
      <c r="Q166" s="146">
        <f t="shared" si="36"/>
        <v>21590</v>
      </c>
      <c r="R166" s="146">
        <f t="shared" si="37"/>
        <v>21590</v>
      </c>
      <c r="S166" s="134"/>
      <c r="T166" s="138">
        <f t="shared" si="38"/>
        <v>0</v>
      </c>
    </row>
    <row r="167" spans="1:20">
      <c r="A167" s="157" t="s">
        <v>190</v>
      </c>
      <c r="B167" s="157"/>
      <c r="C167" s="157"/>
      <c r="D167" s="157"/>
      <c r="E167" s="157"/>
      <c r="F167" s="157"/>
      <c r="G167" s="157"/>
      <c r="H167" s="157"/>
      <c r="I167" s="195"/>
      <c r="J167" s="195"/>
      <c r="K167" s="157"/>
      <c r="L167" s="157"/>
      <c r="M167" s="157"/>
      <c r="N167" s="157"/>
      <c r="O167" s="157"/>
      <c r="P167" s="157"/>
      <c r="R167" s="149"/>
      <c r="T167" s="139"/>
    </row>
    <row r="168" spans="1:20">
      <c r="A168" s="196" t="s">
        <v>749</v>
      </c>
      <c r="B168" s="158"/>
      <c r="C168" s="158"/>
      <c r="D168" s="158"/>
      <c r="E168" s="158"/>
      <c r="F168" s="158"/>
      <c r="G168" s="158"/>
      <c r="H168" s="158"/>
      <c r="I168" s="197"/>
      <c r="J168" s="197"/>
      <c r="K168" s="158"/>
      <c r="L168" s="158"/>
      <c r="M168" s="158"/>
      <c r="N168" s="158"/>
      <c r="O168" s="158"/>
      <c r="P168" s="158"/>
      <c r="R168" s="149"/>
      <c r="T168" s="139"/>
    </row>
    <row r="169" spans="1:20" hidden="1">
      <c r="A169" s="58" t="s">
        <v>508</v>
      </c>
      <c r="B169" s="108" t="s">
        <v>734</v>
      </c>
      <c r="C169" s="25">
        <v>12</v>
      </c>
      <c r="D169" s="25" t="s">
        <v>191</v>
      </c>
      <c r="E169" s="59" t="s">
        <v>652</v>
      </c>
      <c r="F169" s="27">
        <f t="shared" ref="F169:F200" si="40">H169*E169</f>
        <v>25200</v>
      </c>
      <c r="G169" s="57">
        <v>1890</v>
      </c>
      <c r="H169" s="57">
        <f t="shared" ref="H169:H232" si="41">G169/75*100</f>
        <v>2520</v>
      </c>
      <c r="I169" s="57"/>
      <c r="J169" s="57"/>
      <c r="K169" s="162">
        <f t="shared" ref="K169:K232" si="42">I169*S169</f>
        <v>0</v>
      </c>
      <c r="L169" s="162">
        <f t="shared" ref="L169:L232" si="43">J169*S169</f>
        <v>0</v>
      </c>
      <c r="M169" s="2"/>
      <c r="N169" s="64" t="s">
        <v>619</v>
      </c>
      <c r="O169" s="64"/>
      <c r="P169" s="97" t="s">
        <v>490</v>
      </c>
      <c r="Q169" s="146">
        <f t="shared" ref="Q169:Q221" si="44">F169*(1-$Q$10)</f>
        <v>25200</v>
      </c>
      <c r="R169" s="146">
        <f t="shared" ref="R169:R232" si="45">H169*(1-$Q$10)</f>
        <v>2520</v>
      </c>
      <c r="S169" s="134"/>
      <c r="T169" s="138">
        <f t="shared" ref="T169:T221" si="46">S169*Q169</f>
        <v>0</v>
      </c>
    </row>
    <row r="170" spans="1:20" hidden="1">
      <c r="A170" s="60" t="s">
        <v>192</v>
      </c>
      <c r="B170" s="61" t="s">
        <v>193</v>
      </c>
      <c r="C170" s="24">
        <v>12</v>
      </c>
      <c r="D170" s="24" t="s">
        <v>191</v>
      </c>
      <c r="E170" s="62" t="s">
        <v>652</v>
      </c>
      <c r="F170" s="27">
        <f t="shared" si="40"/>
        <v>24360</v>
      </c>
      <c r="G170" s="63">
        <v>1827</v>
      </c>
      <c r="H170" s="57">
        <f t="shared" si="41"/>
        <v>2436</v>
      </c>
      <c r="I170" s="57"/>
      <c r="J170" s="57"/>
      <c r="K170" s="162">
        <f t="shared" si="42"/>
        <v>0</v>
      </c>
      <c r="L170" s="162">
        <f t="shared" si="43"/>
        <v>0</v>
      </c>
      <c r="M170" s="15"/>
      <c r="N170" s="64" t="s">
        <v>619</v>
      </c>
      <c r="O170" s="64"/>
      <c r="P170" s="97" t="s">
        <v>490</v>
      </c>
      <c r="Q170" s="146">
        <f t="shared" si="44"/>
        <v>24360</v>
      </c>
      <c r="R170" s="146">
        <f t="shared" si="45"/>
        <v>2436</v>
      </c>
      <c r="S170" s="134"/>
      <c r="T170" s="138">
        <f t="shared" si="46"/>
        <v>0</v>
      </c>
    </row>
    <row r="171" spans="1:20" ht="26.25" hidden="1">
      <c r="A171" s="58" t="s">
        <v>194</v>
      </c>
      <c r="B171" s="54" t="s">
        <v>195</v>
      </c>
      <c r="C171" s="25" t="s">
        <v>196</v>
      </c>
      <c r="D171" s="25" t="s">
        <v>191</v>
      </c>
      <c r="E171" s="59" t="s">
        <v>544</v>
      </c>
      <c r="F171" s="27">
        <f t="shared" si="40"/>
        <v>19560</v>
      </c>
      <c r="G171" s="57">
        <v>1630</v>
      </c>
      <c r="H171" s="57">
        <f t="shared" si="41"/>
        <v>2173.3333333333335</v>
      </c>
      <c r="I171" s="25">
        <v>4.5999999999999999E-2</v>
      </c>
      <c r="J171" s="25">
        <v>11.7</v>
      </c>
      <c r="K171" s="162">
        <f t="shared" si="42"/>
        <v>0</v>
      </c>
      <c r="L171" s="162">
        <f t="shared" si="43"/>
        <v>0</v>
      </c>
      <c r="M171" s="14" t="s">
        <v>147</v>
      </c>
      <c r="N171" s="64" t="s">
        <v>619</v>
      </c>
      <c r="O171" s="126" t="s">
        <v>845</v>
      </c>
      <c r="P171" s="97" t="s">
        <v>490</v>
      </c>
      <c r="Q171" s="146">
        <f t="shared" si="44"/>
        <v>19560</v>
      </c>
      <c r="R171" s="146">
        <f t="shared" si="45"/>
        <v>2173.3333333333335</v>
      </c>
      <c r="S171" s="134"/>
      <c r="T171" s="138">
        <f t="shared" si="46"/>
        <v>0</v>
      </c>
    </row>
    <row r="172" spans="1:20" hidden="1">
      <c r="A172" s="58" t="s">
        <v>197</v>
      </c>
      <c r="B172" s="108" t="s">
        <v>735</v>
      </c>
      <c r="C172" s="25">
        <v>19</v>
      </c>
      <c r="D172" s="25" t="s">
        <v>191</v>
      </c>
      <c r="E172" s="59" t="s">
        <v>422</v>
      </c>
      <c r="F172" s="27">
        <f t="shared" si="40"/>
        <v>21320</v>
      </c>
      <c r="G172" s="57">
        <v>2665</v>
      </c>
      <c r="H172" s="57">
        <f t="shared" si="41"/>
        <v>3553.333333333333</v>
      </c>
      <c r="I172" s="57"/>
      <c r="J172" s="57"/>
      <c r="K172" s="162">
        <f t="shared" si="42"/>
        <v>0</v>
      </c>
      <c r="L172" s="162">
        <f t="shared" si="43"/>
        <v>0</v>
      </c>
      <c r="M172" s="72"/>
      <c r="N172" s="64" t="s">
        <v>619</v>
      </c>
      <c r="O172" s="64"/>
      <c r="P172" s="97" t="s">
        <v>490</v>
      </c>
      <c r="Q172" s="146">
        <f t="shared" si="44"/>
        <v>21320</v>
      </c>
      <c r="R172" s="146">
        <f t="shared" si="45"/>
        <v>3553.333333333333</v>
      </c>
      <c r="S172" s="134"/>
      <c r="T172" s="138">
        <f t="shared" si="46"/>
        <v>0</v>
      </c>
    </row>
    <row r="173" spans="1:20" hidden="1">
      <c r="A173" s="58" t="s">
        <v>198</v>
      </c>
      <c r="B173" s="108" t="s">
        <v>736</v>
      </c>
      <c r="C173" s="25">
        <v>19</v>
      </c>
      <c r="D173" s="25" t="s">
        <v>191</v>
      </c>
      <c r="E173" s="59" t="s">
        <v>422</v>
      </c>
      <c r="F173" s="27">
        <f t="shared" si="40"/>
        <v>21320</v>
      </c>
      <c r="G173" s="57">
        <v>2665</v>
      </c>
      <c r="H173" s="57">
        <f t="shared" si="41"/>
        <v>3553.333333333333</v>
      </c>
      <c r="I173" s="161">
        <v>6.2E-2</v>
      </c>
      <c r="J173" s="161">
        <v>18.899999999999999</v>
      </c>
      <c r="K173" s="162">
        <f t="shared" si="42"/>
        <v>0</v>
      </c>
      <c r="L173" s="162">
        <f t="shared" si="43"/>
        <v>0</v>
      </c>
      <c r="M173" s="72"/>
      <c r="N173" s="64" t="s">
        <v>619</v>
      </c>
      <c r="O173" s="64"/>
      <c r="P173" s="97" t="s">
        <v>490</v>
      </c>
      <c r="Q173" s="146">
        <f t="shared" si="44"/>
        <v>21320</v>
      </c>
      <c r="R173" s="146">
        <f t="shared" si="45"/>
        <v>3553.333333333333</v>
      </c>
      <c r="S173" s="134"/>
      <c r="T173" s="138">
        <f t="shared" si="46"/>
        <v>0</v>
      </c>
    </row>
    <row r="174" spans="1:20" hidden="1">
      <c r="A174" s="60" t="s">
        <v>199</v>
      </c>
      <c r="B174" s="61" t="s">
        <v>200</v>
      </c>
      <c r="C174" s="24">
        <v>19</v>
      </c>
      <c r="D174" s="24" t="s">
        <v>191</v>
      </c>
      <c r="E174" s="62" t="s">
        <v>422</v>
      </c>
      <c r="F174" s="27">
        <f t="shared" si="40"/>
        <v>21320</v>
      </c>
      <c r="G174" s="57">
        <v>2665</v>
      </c>
      <c r="H174" s="57">
        <f t="shared" si="41"/>
        <v>3553.333333333333</v>
      </c>
      <c r="I174" s="57"/>
      <c r="J174" s="57"/>
      <c r="K174" s="162">
        <f t="shared" si="42"/>
        <v>0</v>
      </c>
      <c r="L174" s="162">
        <f t="shared" si="43"/>
        <v>0</v>
      </c>
      <c r="M174" s="72"/>
      <c r="N174" s="64" t="s">
        <v>619</v>
      </c>
      <c r="O174" s="64"/>
      <c r="P174" s="97" t="s">
        <v>490</v>
      </c>
      <c r="Q174" s="146">
        <f t="shared" si="44"/>
        <v>21320</v>
      </c>
      <c r="R174" s="146">
        <f t="shared" si="45"/>
        <v>3553.333333333333</v>
      </c>
      <c r="S174" s="134"/>
      <c r="T174" s="138">
        <f t="shared" si="46"/>
        <v>0</v>
      </c>
    </row>
    <row r="175" spans="1:20" ht="21">
      <c r="A175" s="58" t="s">
        <v>509</v>
      </c>
      <c r="B175" s="54" t="s">
        <v>815</v>
      </c>
      <c r="C175" s="25">
        <v>19</v>
      </c>
      <c r="D175" s="25" t="s">
        <v>191</v>
      </c>
      <c r="E175" s="59" t="s">
        <v>422</v>
      </c>
      <c r="F175" s="27">
        <f t="shared" si="40"/>
        <v>16200</v>
      </c>
      <c r="G175" s="57">
        <v>2380</v>
      </c>
      <c r="H175" s="57">
        <v>2700</v>
      </c>
      <c r="I175" s="167">
        <v>4.7E-2</v>
      </c>
      <c r="J175" s="168">
        <v>15.6</v>
      </c>
      <c r="K175" s="162">
        <f t="shared" si="42"/>
        <v>0</v>
      </c>
      <c r="L175" s="162">
        <f t="shared" si="43"/>
        <v>0</v>
      </c>
      <c r="M175" s="15" t="s">
        <v>781</v>
      </c>
      <c r="N175" s="64" t="s">
        <v>619</v>
      </c>
      <c r="O175" s="126" t="s">
        <v>845</v>
      </c>
      <c r="P175" s="235" t="s">
        <v>864</v>
      </c>
      <c r="Q175" s="146">
        <f t="shared" si="44"/>
        <v>16200</v>
      </c>
      <c r="R175" s="146">
        <f t="shared" si="45"/>
        <v>2700</v>
      </c>
      <c r="S175" s="134"/>
      <c r="T175" s="138">
        <f t="shared" si="46"/>
        <v>0</v>
      </c>
    </row>
    <row r="176" spans="1:20" hidden="1">
      <c r="A176" s="60" t="s">
        <v>510</v>
      </c>
      <c r="B176" s="61" t="s">
        <v>511</v>
      </c>
      <c r="C176" s="24">
        <v>19</v>
      </c>
      <c r="D176" s="24" t="s">
        <v>191</v>
      </c>
      <c r="E176" s="62" t="s">
        <v>422</v>
      </c>
      <c r="F176" s="27">
        <f t="shared" si="40"/>
        <v>21320</v>
      </c>
      <c r="G176" s="57">
        <v>2665</v>
      </c>
      <c r="H176" s="57">
        <f t="shared" si="41"/>
        <v>3553.333333333333</v>
      </c>
      <c r="I176" s="57"/>
      <c r="J176" s="57"/>
      <c r="K176" s="162">
        <f t="shared" si="42"/>
        <v>0</v>
      </c>
      <c r="L176" s="162">
        <f t="shared" si="43"/>
        <v>0</v>
      </c>
      <c r="M176" s="72"/>
      <c r="N176" s="64" t="s">
        <v>619</v>
      </c>
      <c r="O176" s="64"/>
      <c r="P176" s="97" t="s">
        <v>490</v>
      </c>
      <c r="Q176" s="146">
        <f t="shared" si="44"/>
        <v>21320</v>
      </c>
      <c r="R176" s="146">
        <f t="shared" si="45"/>
        <v>3553.333333333333</v>
      </c>
      <c r="S176" s="134"/>
      <c r="T176" s="138">
        <f t="shared" si="46"/>
        <v>0</v>
      </c>
    </row>
    <row r="177" spans="1:20" hidden="1">
      <c r="A177" s="58" t="s">
        <v>201</v>
      </c>
      <c r="B177" s="54" t="s">
        <v>202</v>
      </c>
      <c r="C177" s="25">
        <v>19</v>
      </c>
      <c r="D177" s="25" t="s">
        <v>191</v>
      </c>
      <c r="E177" s="59" t="s">
        <v>651</v>
      </c>
      <c r="F177" s="27">
        <f t="shared" si="40"/>
        <v>28426.666666666664</v>
      </c>
      <c r="G177" s="57">
        <v>2665</v>
      </c>
      <c r="H177" s="57">
        <f t="shared" si="41"/>
        <v>3553.333333333333</v>
      </c>
      <c r="I177" s="57"/>
      <c r="J177" s="57"/>
      <c r="K177" s="162">
        <f t="shared" si="42"/>
        <v>0</v>
      </c>
      <c r="L177" s="162">
        <f t="shared" si="43"/>
        <v>0</v>
      </c>
      <c r="M177" s="72"/>
      <c r="N177" s="64" t="s">
        <v>619</v>
      </c>
      <c r="O177" s="64"/>
      <c r="P177" s="97" t="s">
        <v>490</v>
      </c>
      <c r="Q177" s="146">
        <f t="shared" si="44"/>
        <v>28426.666666666664</v>
      </c>
      <c r="R177" s="146">
        <f t="shared" si="45"/>
        <v>3553.333333333333</v>
      </c>
      <c r="S177" s="134"/>
      <c r="T177" s="138">
        <f t="shared" si="46"/>
        <v>0</v>
      </c>
    </row>
    <row r="178" spans="1:20" hidden="1">
      <c r="A178" s="60" t="s">
        <v>512</v>
      </c>
      <c r="B178" s="61" t="s">
        <v>513</v>
      </c>
      <c r="C178" s="24">
        <v>19</v>
      </c>
      <c r="D178" s="24" t="s">
        <v>191</v>
      </c>
      <c r="E178" s="62" t="s">
        <v>422</v>
      </c>
      <c r="F178" s="27">
        <f t="shared" si="40"/>
        <v>21320</v>
      </c>
      <c r="G178" s="57">
        <v>2665</v>
      </c>
      <c r="H178" s="57">
        <f t="shared" si="41"/>
        <v>3553.333333333333</v>
      </c>
      <c r="I178" s="57"/>
      <c r="J178" s="57"/>
      <c r="K178" s="162">
        <f t="shared" si="42"/>
        <v>0</v>
      </c>
      <c r="L178" s="162">
        <f t="shared" si="43"/>
        <v>0</v>
      </c>
      <c r="M178" s="2"/>
      <c r="N178" s="64" t="s">
        <v>619</v>
      </c>
      <c r="O178" s="64"/>
      <c r="P178" s="97" t="s">
        <v>490</v>
      </c>
      <c r="Q178" s="146">
        <f t="shared" si="44"/>
        <v>21320</v>
      </c>
      <c r="R178" s="146">
        <f t="shared" si="45"/>
        <v>3553.333333333333</v>
      </c>
      <c r="S178" s="134"/>
      <c r="T178" s="138">
        <f t="shared" si="46"/>
        <v>0</v>
      </c>
    </row>
    <row r="179" spans="1:20" ht="21">
      <c r="A179" s="60" t="s">
        <v>203</v>
      </c>
      <c r="B179" s="54" t="s">
        <v>708</v>
      </c>
      <c r="C179" s="25">
        <v>19</v>
      </c>
      <c r="D179" s="25" t="s">
        <v>191</v>
      </c>
      <c r="E179" s="59" t="s">
        <v>422</v>
      </c>
      <c r="F179" s="27">
        <f t="shared" si="40"/>
        <v>19080</v>
      </c>
      <c r="G179" s="57">
        <v>2665</v>
      </c>
      <c r="H179" s="57">
        <v>3180</v>
      </c>
      <c r="I179" s="167">
        <v>4.9000000000000002E-2</v>
      </c>
      <c r="J179" s="168">
        <v>14</v>
      </c>
      <c r="K179" s="162">
        <f t="shared" si="42"/>
        <v>0</v>
      </c>
      <c r="L179" s="162">
        <f t="shared" si="43"/>
        <v>0</v>
      </c>
      <c r="M179" s="15"/>
      <c r="N179" s="64" t="s">
        <v>619</v>
      </c>
      <c r="O179" s="126" t="s">
        <v>845</v>
      </c>
      <c r="P179" s="235" t="s">
        <v>864</v>
      </c>
      <c r="Q179" s="146">
        <f t="shared" si="44"/>
        <v>19080</v>
      </c>
      <c r="R179" s="146">
        <f t="shared" si="45"/>
        <v>3180</v>
      </c>
      <c r="S179" s="134"/>
      <c r="T179" s="138">
        <f t="shared" si="46"/>
        <v>0</v>
      </c>
    </row>
    <row r="180" spans="1:20" hidden="1">
      <c r="A180" s="60" t="s">
        <v>204</v>
      </c>
      <c r="B180" s="61" t="s">
        <v>205</v>
      </c>
      <c r="C180" s="24">
        <v>19</v>
      </c>
      <c r="D180" s="24" t="s">
        <v>191</v>
      </c>
      <c r="E180" s="62" t="s">
        <v>422</v>
      </c>
      <c r="F180" s="27">
        <f t="shared" si="40"/>
        <v>21320</v>
      </c>
      <c r="G180" s="57">
        <v>2665</v>
      </c>
      <c r="H180" s="57">
        <f t="shared" si="41"/>
        <v>3553.333333333333</v>
      </c>
      <c r="I180" s="57"/>
      <c r="J180" s="57"/>
      <c r="K180" s="162">
        <f t="shared" si="42"/>
        <v>0</v>
      </c>
      <c r="L180" s="162">
        <f t="shared" si="43"/>
        <v>0</v>
      </c>
      <c r="M180" s="15"/>
      <c r="N180" s="64" t="s">
        <v>619</v>
      </c>
      <c r="O180" s="64"/>
      <c r="P180" s="97" t="s">
        <v>490</v>
      </c>
      <c r="Q180" s="146">
        <f t="shared" si="44"/>
        <v>21320</v>
      </c>
      <c r="R180" s="146">
        <f t="shared" si="45"/>
        <v>3553.333333333333</v>
      </c>
      <c r="S180" s="134"/>
      <c r="T180" s="138">
        <f t="shared" si="46"/>
        <v>0</v>
      </c>
    </row>
    <row r="181" spans="1:20" hidden="1">
      <c r="A181" s="58" t="s">
        <v>206</v>
      </c>
      <c r="B181" s="54" t="s">
        <v>207</v>
      </c>
      <c r="C181" s="25">
        <v>19</v>
      </c>
      <c r="D181" s="25" t="s">
        <v>191</v>
      </c>
      <c r="E181" s="59" t="s">
        <v>422</v>
      </c>
      <c r="F181" s="27">
        <f t="shared" si="40"/>
        <v>21320</v>
      </c>
      <c r="G181" s="57">
        <v>2665</v>
      </c>
      <c r="H181" s="57">
        <f t="shared" si="41"/>
        <v>3553.333333333333</v>
      </c>
      <c r="I181" s="57"/>
      <c r="J181" s="57"/>
      <c r="K181" s="162">
        <f t="shared" si="42"/>
        <v>0</v>
      </c>
      <c r="L181" s="162">
        <f t="shared" si="43"/>
        <v>0</v>
      </c>
      <c r="M181" s="15"/>
      <c r="N181" s="64" t="s">
        <v>619</v>
      </c>
      <c r="O181" s="64"/>
      <c r="P181" s="97" t="s">
        <v>490</v>
      </c>
      <c r="Q181" s="146">
        <f t="shared" si="44"/>
        <v>21320</v>
      </c>
      <c r="R181" s="146">
        <f t="shared" si="45"/>
        <v>3553.333333333333</v>
      </c>
      <c r="S181" s="134"/>
      <c r="T181" s="138">
        <f t="shared" si="46"/>
        <v>0</v>
      </c>
    </row>
    <row r="182" spans="1:20" hidden="1">
      <c r="A182" s="60" t="s">
        <v>208</v>
      </c>
      <c r="B182" s="61" t="s">
        <v>209</v>
      </c>
      <c r="C182" s="24">
        <v>19</v>
      </c>
      <c r="D182" s="24" t="s">
        <v>191</v>
      </c>
      <c r="E182" s="62" t="s">
        <v>422</v>
      </c>
      <c r="F182" s="27">
        <f t="shared" si="40"/>
        <v>22560</v>
      </c>
      <c r="G182" s="63">
        <v>2820</v>
      </c>
      <c r="H182" s="57">
        <f t="shared" si="41"/>
        <v>3760</v>
      </c>
      <c r="I182" s="57"/>
      <c r="J182" s="57"/>
      <c r="K182" s="162">
        <f t="shared" si="42"/>
        <v>0</v>
      </c>
      <c r="L182" s="162">
        <f t="shared" si="43"/>
        <v>0</v>
      </c>
      <c r="M182" s="18" t="s">
        <v>210</v>
      </c>
      <c r="N182" s="64" t="s">
        <v>619</v>
      </c>
      <c r="O182" s="64"/>
      <c r="P182" s="97" t="s">
        <v>490</v>
      </c>
      <c r="Q182" s="146">
        <f t="shared" si="44"/>
        <v>22560</v>
      </c>
      <c r="R182" s="146">
        <f t="shared" si="45"/>
        <v>3760</v>
      </c>
      <c r="S182" s="134"/>
      <c r="T182" s="138">
        <f t="shared" si="46"/>
        <v>0</v>
      </c>
    </row>
    <row r="183" spans="1:20" ht="21">
      <c r="A183" s="60" t="s">
        <v>211</v>
      </c>
      <c r="B183" s="54" t="s">
        <v>212</v>
      </c>
      <c r="C183" s="25">
        <v>19</v>
      </c>
      <c r="D183" s="25" t="s">
        <v>191</v>
      </c>
      <c r="E183" s="59" t="s">
        <v>422</v>
      </c>
      <c r="F183" s="27">
        <f t="shared" si="40"/>
        <v>22560</v>
      </c>
      <c r="G183" s="57">
        <v>2820</v>
      </c>
      <c r="H183" s="57">
        <f t="shared" si="41"/>
        <v>3760</v>
      </c>
      <c r="I183" s="167">
        <v>5.3999999999999999E-2</v>
      </c>
      <c r="J183" s="168">
        <v>14.9</v>
      </c>
      <c r="K183" s="162">
        <f t="shared" si="42"/>
        <v>0</v>
      </c>
      <c r="L183" s="162">
        <f t="shared" si="43"/>
        <v>0</v>
      </c>
      <c r="M183" s="18" t="s">
        <v>210</v>
      </c>
      <c r="N183" s="64" t="s">
        <v>619</v>
      </c>
      <c r="O183" s="126" t="s">
        <v>845</v>
      </c>
      <c r="P183" s="232" t="s">
        <v>863</v>
      </c>
      <c r="Q183" s="146">
        <f t="shared" si="44"/>
        <v>22560</v>
      </c>
      <c r="R183" s="146">
        <f t="shared" si="45"/>
        <v>3760</v>
      </c>
      <c r="S183" s="134"/>
      <c r="T183" s="138">
        <f t="shared" si="46"/>
        <v>0</v>
      </c>
    </row>
    <row r="184" spans="1:20" hidden="1">
      <c r="A184" s="58" t="s">
        <v>514</v>
      </c>
      <c r="B184" s="54" t="s">
        <v>705</v>
      </c>
      <c r="C184" s="25">
        <v>19</v>
      </c>
      <c r="D184" s="25" t="s">
        <v>191</v>
      </c>
      <c r="E184" s="59" t="s">
        <v>422</v>
      </c>
      <c r="F184" s="27">
        <f t="shared" si="40"/>
        <v>21320</v>
      </c>
      <c r="G184" s="57">
        <v>2665</v>
      </c>
      <c r="H184" s="57">
        <f t="shared" si="41"/>
        <v>3553.333333333333</v>
      </c>
      <c r="I184" s="57"/>
      <c r="J184" s="57"/>
      <c r="K184" s="162">
        <f t="shared" si="42"/>
        <v>0</v>
      </c>
      <c r="L184" s="162">
        <f t="shared" si="43"/>
        <v>0</v>
      </c>
      <c r="M184" s="56"/>
      <c r="N184" s="64" t="s">
        <v>619</v>
      </c>
      <c r="O184" s="64"/>
      <c r="P184" s="97" t="s">
        <v>490</v>
      </c>
      <c r="Q184" s="146">
        <f t="shared" si="44"/>
        <v>21320</v>
      </c>
      <c r="R184" s="146">
        <f t="shared" si="45"/>
        <v>3553.333333333333</v>
      </c>
      <c r="S184" s="134"/>
      <c r="T184" s="138">
        <f t="shared" si="46"/>
        <v>0</v>
      </c>
    </row>
    <row r="185" spans="1:20" ht="25.5">
      <c r="A185" s="58" t="s">
        <v>213</v>
      </c>
      <c r="B185" s="54" t="s">
        <v>214</v>
      </c>
      <c r="C185" s="25">
        <v>25</v>
      </c>
      <c r="D185" s="25" t="s">
        <v>191</v>
      </c>
      <c r="E185" s="59" t="s">
        <v>653</v>
      </c>
      <c r="F185" s="27">
        <f t="shared" si="40"/>
        <v>18666.666666666664</v>
      </c>
      <c r="G185" s="57">
        <v>3500</v>
      </c>
      <c r="H185" s="57">
        <f t="shared" si="41"/>
        <v>4666.6666666666661</v>
      </c>
      <c r="I185" s="167">
        <v>0.04</v>
      </c>
      <c r="J185" s="168">
        <v>12.5</v>
      </c>
      <c r="K185" s="162">
        <f t="shared" si="42"/>
        <v>0</v>
      </c>
      <c r="L185" s="162">
        <f t="shared" si="43"/>
        <v>0</v>
      </c>
      <c r="M185" s="15"/>
      <c r="N185" s="64" t="s">
        <v>619</v>
      </c>
      <c r="O185" s="126" t="s">
        <v>845</v>
      </c>
      <c r="P185" s="232" t="s">
        <v>865</v>
      </c>
      <c r="Q185" s="146">
        <f t="shared" si="44"/>
        <v>18666.666666666664</v>
      </c>
      <c r="R185" s="146">
        <f t="shared" si="45"/>
        <v>4666.6666666666661</v>
      </c>
      <c r="S185" s="134"/>
      <c r="T185" s="138">
        <f t="shared" si="46"/>
        <v>0</v>
      </c>
    </row>
    <row r="186" spans="1:20" hidden="1">
      <c r="A186" s="60" t="s">
        <v>215</v>
      </c>
      <c r="B186" s="108" t="s">
        <v>839</v>
      </c>
      <c r="C186" s="25">
        <v>25</v>
      </c>
      <c r="D186" s="25" t="s">
        <v>191</v>
      </c>
      <c r="E186" s="59" t="s">
        <v>422</v>
      </c>
      <c r="F186" s="27">
        <f t="shared" si="40"/>
        <v>30720</v>
      </c>
      <c r="G186" s="57">
        <v>3840</v>
      </c>
      <c r="H186" s="57">
        <f t="shared" si="41"/>
        <v>5120</v>
      </c>
      <c r="I186" s="25">
        <v>5.8999999999999997E-2</v>
      </c>
      <c r="J186" s="25">
        <v>20.2</v>
      </c>
      <c r="K186" s="162">
        <f t="shared" si="42"/>
        <v>0</v>
      </c>
      <c r="L186" s="162">
        <f t="shared" si="43"/>
        <v>0</v>
      </c>
      <c r="M186" s="15"/>
      <c r="N186" s="64" t="s">
        <v>619</v>
      </c>
      <c r="O186" s="64"/>
      <c r="P186" s="97" t="s">
        <v>490</v>
      </c>
      <c r="Q186" s="146">
        <f t="shared" si="44"/>
        <v>30720</v>
      </c>
      <c r="R186" s="146">
        <f t="shared" si="45"/>
        <v>5120</v>
      </c>
      <c r="S186" s="134"/>
      <c r="T186" s="138">
        <f t="shared" si="46"/>
        <v>0</v>
      </c>
    </row>
    <row r="187" spans="1:20">
      <c r="A187" s="58" t="s">
        <v>782</v>
      </c>
      <c r="B187" s="54" t="s">
        <v>817</v>
      </c>
      <c r="C187" s="25">
        <v>25</v>
      </c>
      <c r="D187" s="25" t="s">
        <v>191</v>
      </c>
      <c r="E187" s="59" t="s">
        <v>653</v>
      </c>
      <c r="F187" s="27">
        <f t="shared" si="40"/>
        <v>15200</v>
      </c>
      <c r="G187" s="57">
        <v>3215</v>
      </c>
      <c r="H187" s="57">
        <v>3800</v>
      </c>
      <c r="I187" s="167">
        <v>3.5999999999999997E-2</v>
      </c>
      <c r="J187" s="168">
        <v>12.7</v>
      </c>
      <c r="K187" s="162">
        <f t="shared" si="42"/>
        <v>0</v>
      </c>
      <c r="L187" s="162">
        <f t="shared" si="43"/>
        <v>0</v>
      </c>
      <c r="M187" s="15" t="s">
        <v>781</v>
      </c>
      <c r="N187" s="64" t="s">
        <v>619</v>
      </c>
      <c r="O187" s="64"/>
      <c r="P187" s="235" t="s">
        <v>864</v>
      </c>
      <c r="Q187" s="146">
        <f t="shared" si="44"/>
        <v>15200</v>
      </c>
      <c r="R187" s="146">
        <f t="shared" si="45"/>
        <v>3800</v>
      </c>
      <c r="S187" s="134"/>
      <c r="T187" s="138">
        <f t="shared" si="46"/>
        <v>0</v>
      </c>
    </row>
    <row r="188" spans="1:20">
      <c r="A188" s="60" t="s">
        <v>515</v>
      </c>
      <c r="B188" s="61" t="s">
        <v>706</v>
      </c>
      <c r="C188" s="24">
        <v>25</v>
      </c>
      <c r="D188" s="24" t="s">
        <v>191</v>
      </c>
      <c r="E188" s="62" t="s">
        <v>653</v>
      </c>
      <c r="F188" s="27">
        <f t="shared" si="40"/>
        <v>19733.333333333336</v>
      </c>
      <c r="G188" s="63">
        <v>3700</v>
      </c>
      <c r="H188" s="57">
        <f t="shared" si="41"/>
        <v>4933.3333333333339</v>
      </c>
      <c r="I188" s="57"/>
      <c r="J188" s="57"/>
      <c r="K188" s="162">
        <f t="shared" si="42"/>
        <v>0</v>
      </c>
      <c r="L188" s="162">
        <f t="shared" si="43"/>
        <v>0</v>
      </c>
      <c r="M188" s="2"/>
      <c r="N188" s="64" t="s">
        <v>619</v>
      </c>
      <c r="O188" s="64"/>
      <c r="P188" s="235" t="s">
        <v>864</v>
      </c>
      <c r="Q188" s="146">
        <f t="shared" si="44"/>
        <v>19733.333333333336</v>
      </c>
      <c r="R188" s="146">
        <f t="shared" si="45"/>
        <v>4933.3333333333339</v>
      </c>
      <c r="S188" s="134"/>
      <c r="T188" s="138">
        <f t="shared" si="46"/>
        <v>0</v>
      </c>
    </row>
    <row r="189" spans="1:20" hidden="1">
      <c r="A189" s="58" t="s">
        <v>516</v>
      </c>
      <c r="B189" s="54" t="s">
        <v>707</v>
      </c>
      <c r="C189" s="25">
        <v>25</v>
      </c>
      <c r="D189" s="25" t="s">
        <v>191</v>
      </c>
      <c r="E189" s="59" t="s">
        <v>653</v>
      </c>
      <c r="F189" s="27">
        <f t="shared" si="40"/>
        <v>18613.333333333332</v>
      </c>
      <c r="G189" s="57">
        <v>3490</v>
      </c>
      <c r="H189" s="57">
        <f t="shared" si="41"/>
        <v>4653.333333333333</v>
      </c>
      <c r="I189" s="57"/>
      <c r="J189" s="57"/>
      <c r="K189" s="162">
        <f t="shared" si="42"/>
        <v>0</v>
      </c>
      <c r="L189" s="162">
        <f t="shared" si="43"/>
        <v>0</v>
      </c>
      <c r="M189" s="15"/>
      <c r="N189" s="64" t="s">
        <v>619</v>
      </c>
      <c r="O189" s="64"/>
      <c r="P189" s="97" t="s">
        <v>490</v>
      </c>
      <c r="Q189" s="146">
        <f t="shared" si="44"/>
        <v>18613.333333333332</v>
      </c>
      <c r="R189" s="146">
        <f t="shared" si="45"/>
        <v>4653.333333333333</v>
      </c>
      <c r="S189" s="134"/>
      <c r="T189" s="138">
        <f t="shared" si="46"/>
        <v>0</v>
      </c>
    </row>
    <row r="190" spans="1:20" hidden="1">
      <c r="A190" s="60" t="s">
        <v>517</v>
      </c>
      <c r="B190" s="61" t="s">
        <v>518</v>
      </c>
      <c r="C190" s="24">
        <v>25</v>
      </c>
      <c r="D190" s="24" t="s">
        <v>191</v>
      </c>
      <c r="E190" s="62" t="s">
        <v>653</v>
      </c>
      <c r="F190" s="27">
        <f t="shared" si="40"/>
        <v>19786.666666666668</v>
      </c>
      <c r="G190" s="63">
        <v>3710</v>
      </c>
      <c r="H190" s="57">
        <f t="shared" si="41"/>
        <v>4946.666666666667</v>
      </c>
      <c r="I190" s="57"/>
      <c r="J190" s="57"/>
      <c r="K190" s="162">
        <f t="shared" si="42"/>
        <v>0</v>
      </c>
      <c r="L190" s="162">
        <f t="shared" si="43"/>
        <v>0</v>
      </c>
      <c r="M190" s="2"/>
      <c r="N190" s="64" t="s">
        <v>619</v>
      </c>
      <c r="O190" s="64"/>
      <c r="P190" s="97" t="s">
        <v>490</v>
      </c>
      <c r="Q190" s="146">
        <f t="shared" si="44"/>
        <v>19786.666666666668</v>
      </c>
      <c r="R190" s="146">
        <f t="shared" si="45"/>
        <v>4946.666666666667</v>
      </c>
      <c r="S190" s="134"/>
      <c r="T190" s="138">
        <f t="shared" si="46"/>
        <v>0</v>
      </c>
    </row>
    <row r="191" spans="1:20" hidden="1">
      <c r="A191" s="60" t="s">
        <v>519</v>
      </c>
      <c r="B191" s="61" t="s">
        <v>520</v>
      </c>
      <c r="C191" s="24">
        <v>25</v>
      </c>
      <c r="D191" s="24" t="s">
        <v>191</v>
      </c>
      <c r="E191" s="62" t="s">
        <v>653</v>
      </c>
      <c r="F191" s="27">
        <f t="shared" si="40"/>
        <v>19786.666666666668</v>
      </c>
      <c r="G191" s="63">
        <v>3710</v>
      </c>
      <c r="H191" s="57">
        <f t="shared" si="41"/>
        <v>4946.666666666667</v>
      </c>
      <c r="I191" s="57"/>
      <c r="J191" s="57"/>
      <c r="K191" s="162">
        <f t="shared" si="42"/>
        <v>0</v>
      </c>
      <c r="L191" s="162">
        <f t="shared" si="43"/>
        <v>0</v>
      </c>
      <c r="M191" s="2"/>
      <c r="N191" s="64" t="s">
        <v>619</v>
      </c>
      <c r="O191" s="64"/>
      <c r="P191" s="97" t="s">
        <v>490</v>
      </c>
      <c r="Q191" s="146">
        <f t="shared" si="44"/>
        <v>19786.666666666668</v>
      </c>
      <c r="R191" s="146">
        <f t="shared" si="45"/>
        <v>4946.666666666667</v>
      </c>
      <c r="S191" s="134"/>
      <c r="T191" s="138">
        <f t="shared" si="46"/>
        <v>0</v>
      </c>
    </row>
    <row r="192" spans="1:20" hidden="1">
      <c r="A192" s="60" t="s">
        <v>216</v>
      </c>
      <c r="B192" s="61" t="s">
        <v>217</v>
      </c>
      <c r="C192" s="24">
        <v>25</v>
      </c>
      <c r="D192" s="24" t="s">
        <v>191</v>
      </c>
      <c r="E192" s="62" t="s">
        <v>653</v>
      </c>
      <c r="F192" s="27">
        <f t="shared" si="40"/>
        <v>19786.666666666668</v>
      </c>
      <c r="G192" s="63">
        <v>3710</v>
      </c>
      <c r="H192" s="57">
        <f t="shared" si="41"/>
        <v>4946.666666666667</v>
      </c>
      <c r="I192" s="57"/>
      <c r="J192" s="57"/>
      <c r="K192" s="162">
        <f t="shared" si="42"/>
        <v>0</v>
      </c>
      <c r="L192" s="162">
        <f t="shared" si="43"/>
        <v>0</v>
      </c>
      <c r="M192" s="15"/>
      <c r="N192" s="64" t="s">
        <v>619</v>
      </c>
      <c r="O192" s="64"/>
      <c r="P192" s="97" t="s">
        <v>490</v>
      </c>
      <c r="Q192" s="146">
        <f t="shared" si="44"/>
        <v>19786.666666666668</v>
      </c>
      <c r="R192" s="146">
        <f t="shared" si="45"/>
        <v>4946.666666666667</v>
      </c>
      <c r="S192" s="134"/>
      <c r="T192" s="138">
        <f t="shared" si="46"/>
        <v>0</v>
      </c>
    </row>
    <row r="193" spans="1:20" hidden="1">
      <c r="A193" s="60" t="s">
        <v>218</v>
      </c>
      <c r="B193" s="61" t="s">
        <v>219</v>
      </c>
      <c r="C193" s="24">
        <v>36</v>
      </c>
      <c r="D193" s="24" t="s">
        <v>191</v>
      </c>
      <c r="E193" s="62" t="s">
        <v>653</v>
      </c>
      <c r="F193" s="27">
        <f t="shared" si="40"/>
        <v>29066.666666666668</v>
      </c>
      <c r="G193" s="63">
        <v>5450</v>
      </c>
      <c r="H193" s="57">
        <f t="shared" si="41"/>
        <v>7266.666666666667</v>
      </c>
      <c r="I193" s="57"/>
      <c r="J193" s="57"/>
      <c r="K193" s="162">
        <f t="shared" si="42"/>
        <v>0</v>
      </c>
      <c r="L193" s="162">
        <f t="shared" si="43"/>
        <v>0</v>
      </c>
      <c r="M193" s="14"/>
      <c r="N193" s="64" t="s">
        <v>619</v>
      </c>
      <c r="O193" s="64"/>
      <c r="P193" s="97" t="s">
        <v>490</v>
      </c>
      <c r="Q193" s="146">
        <f t="shared" si="44"/>
        <v>29066.666666666668</v>
      </c>
      <c r="R193" s="146">
        <f t="shared" si="45"/>
        <v>7266.666666666667</v>
      </c>
      <c r="S193" s="134"/>
      <c r="T193" s="138">
        <f t="shared" si="46"/>
        <v>0</v>
      </c>
    </row>
    <row r="194" spans="1:20" hidden="1">
      <c r="A194" s="58" t="s">
        <v>220</v>
      </c>
      <c r="B194" s="54" t="s">
        <v>709</v>
      </c>
      <c r="C194" s="25">
        <v>36</v>
      </c>
      <c r="D194" s="25" t="s">
        <v>191</v>
      </c>
      <c r="E194" s="59" t="s">
        <v>653</v>
      </c>
      <c r="F194" s="27">
        <f t="shared" si="40"/>
        <v>29066.666666666668</v>
      </c>
      <c r="G194" s="63">
        <v>5450</v>
      </c>
      <c r="H194" s="57">
        <f t="shared" si="41"/>
        <v>7266.666666666667</v>
      </c>
      <c r="I194" s="57"/>
      <c r="J194" s="57"/>
      <c r="K194" s="162">
        <f t="shared" si="42"/>
        <v>0</v>
      </c>
      <c r="L194" s="162">
        <f t="shared" si="43"/>
        <v>0</v>
      </c>
      <c r="M194" s="15"/>
      <c r="N194" s="64" t="s">
        <v>619</v>
      </c>
      <c r="O194" s="64"/>
      <c r="P194" s="97" t="s">
        <v>490</v>
      </c>
      <c r="Q194" s="146">
        <f t="shared" si="44"/>
        <v>29066.666666666668</v>
      </c>
      <c r="R194" s="146">
        <f t="shared" si="45"/>
        <v>7266.666666666667</v>
      </c>
      <c r="S194" s="134"/>
      <c r="T194" s="138">
        <f t="shared" si="46"/>
        <v>0</v>
      </c>
    </row>
    <row r="195" spans="1:20" hidden="1">
      <c r="A195" s="58" t="s">
        <v>221</v>
      </c>
      <c r="B195" s="54" t="s">
        <v>670</v>
      </c>
      <c r="C195" s="25">
        <v>36</v>
      </c>
      <c r="D195" s="25" t="s">
        <v>191</v>
      </c>
      <c r="E195" s="59" t="s">
        <v>653</v>
      </c>
      <c r="F195" s="27">
        <f t="shared" si="40"/>
        <v>30666.666666666668</v>
      </c>
      <c r="G195" s="57">
        <v>5750</v>
      </c>
      <c r="H195" s="57">
        <f t="shared" si="41"/>
        <v>7666.666666666667</v>
      </c>
      <c r="I195" s="57"/>
      <c r="J195" s="57"/>
      <c r="K195" s="162">
        <f t="shared" si="42"/>
        <v>0</v>
      </c>
      <c r="L195" s="162">
        <f t="shared" si="43"/>
        <v>0</v>
      </c>
      <c r="M195" s="15"/>
      <c r="N195" s="64" t="s">
        <v>619</v>
      </c>
      <c r="O195" s="64"/>
      <c r="P195" s="97" t="s">
        <v>490</v>
      </c>
      <c r="Q195" s="146">
        <f t="shared" si="44"/>
        <v>30666.666666666668</v>
      </c>
      <c r="R195" s="146">
        <f t="shared" si="45"/>
        <v>7666.666666666667</v>
      </c>
      <c r="S195" s="134"/>
      <c r="T195" s="138">
        <f t="shared" si="46"/>
        <v>0</v>
      </c>
    </row>
    <row r="196" spans="1:20" hidden="1">
      <c r="A196" s="58" t="s">
        <v>521</v>
      </c>
      <c r="B196" s="108" t="s">
        <v>737</v>
      </c>
      <c r="C196" s="25">
        <v>36</v>
      </c>
      <c r="D196" s="25" t="s">
        <v>191</v>
      </c>
      <c r="E196" s="59" t="s">
        <v>653</v>
      </c>
      <c r="F196" s="27">
        <f t="shared" si="40"/>
        <v>30880</v>
      </c>
      <c r="G196" s="57">
        <v>5790</v>
      </c>
      <c r="H196" s="57">
        <f t="shared" si="41"/>
        <v>7720</v>
      </c>
      <c r="I196" s="57"/>
      <c r="J196" s="57"/>
      <c r="K196" s="162">
        <f t="shared" si="42"/>
        <v>0</v>
      </c>
      <c r="L196" s="162">
        <f t="shared" si="43"/>
        <v>0</v>
      </c>
      <c r="M196" s="2"/>
      <c r="N196" s="64" t="s">
        <v>619</v>
      </c>
      <c r="O196" s="64"/>
      <c r="P196" s="97" t="s">
        <v>490</v>
      </c>
      <c r="Q196" s="146">
        <f t="shared" si="44"/>
        <v>30880</v>
      </c>
      <c r="R196" s="146">
        <f t="shared" si="45"/>
        <v>7720</v>
      </c>
      <c r="S196" s="134"/>
      <c r="T196" s="138">
        <f t="shared" si="46"/>
        <v>0</v>
      </c>
    </row>
    <row r="197" spans="1:20" ht="21">
      <c r="A197" s="58" t="s">
        <v>222</v>
      </c>
      <c r="B197" s="54" t="s">
        <v>223</v>
      </c>
      <c r="C197" s="25" t="s">
        <v>224</v>
      </c>
      <c r="D197" s="25" t="s">
        <v>191</v>
      </c>
      <c r="E197" s="59" t="s">
        <v>653</v>
      </c>
      <c r="F197" s="27">
        <f t="shared" si="40"/>
        <v>29760.000000000004</v>
      </c>
      <c r="G197" s="57">
        <v>5580</v>
      </c>
      <c r="H197" s="57">
        <f t="shared" si="41"/>
        <v>7440.0000000000009</v>
      </c>
      <c r="I197" s="167">
        <v>5.3999999999999999E-2</v>
      </c>
      <c r="J197" s="168">
        <v>18.899999999999999</v>
      </c>
      <c r="K197" s="162">
        <f t="shared" si="42"/>
        <v>0</v>
      </c>
      <c r="L197" s="162">
        <f t="shared" si="43"/>
        <v>0</v>
      </c>
      <c r="M197" s="14" t="s">
        <v>128</v>
      </c>
      <c r="N197" s="64" t="s">
        <v>619</v>
      </c>
      <c r="O197" s="126" t="s">
        <v>845</v>
      </c>
      <c r="P197" s="232" t="s">
        <v>863</v>
      </c>
      <c r="Q197" s="146">
        <f t="shared" si="44"/>
        <v>29760.000000000004</v>
      </c>
      <c r="R197" s="146">
        <f t="shared" si="45"/>
        <v>7440.0000000000009</v>
      </c>
      <c r="S197" s="134"/>
      <c r="T197" s="138">
        <f t="shared" si="46"/>
        <v>0</v>
      </c>
    </row>
    <row r="198" spans="1:20" hidden="1">
      <c r="A198" s="58" t="s">
        <v>522</v>
      </c>
      <c r="B198" s="54" t="s">
        <v>710</v>
      </c>
      <c r="C198" s="25">
        <v>37</v>
      </c>
      <c r="D198" s="25" t="s">
        <v>191</v>
      </c>
      <c r="E198" s="59" t="s">
        <v>653</v>
      </c>
      <c r="F198" s="27">
        <f t="shared" si="40"/>
        <v>30880</v>
      </c>
      <c r="G198" s="57">
        <v>5790</v>
      </c>
      <c r="H198" s="57">
        <f t="shared" si="41"/>
        <v>7720</v>
      </c>
      <c r="I198" s="57"/>
      <c r="J198" s="57"/>
      <c r="K198" s="162">
        <f t="shared" si="42"/>
        <v>0</v>
      </c>
      <c r="L198" s="162">
        <f t="shared" si="43"/>
        <v>0</v>
      </c>
      <c r="M198" s="2"/>
      <c r="N198" s="64" t="s">
        <v>619</v>
      </c>
      <c r="O198" s="64"/>
      <c r="P198" s="97" t="s">
        <v>490</v>
      </c>
      <c r="Q198" s="146">
        <f t="shared" si="44"/>
        <v>30880</v>
      </c>
      <c r="R198" s="146">
        <f t="shared" si="45"/>
        <v>7720</v>
      </c>
      <c r="S198" s="134"/>
      <c r="T198" s="138">
        <f t="shared" si="46"/>
        <v>0</v>
      </c>
    </row>
    <row r="199" spans="1:20" ht="21">
      <c r="A199" s="58" t="s">
        <v>225</v>
      </c>
      <c r="B199" s="54" t="s">
        <v>226</v>
      </c>
      <c r="C199" s="25">
        <v>40</v>
      </c>
      <c r="D199" s="25" t="s">
        <v>191</v>
      </c>
      <c r="E199" s="59" t="s">
        <v>657</v>
      </c>
      <c r="F199" s="27">
        <f t="shared" si="40"/>
        <v>16480</v>
      </c>
      <c r="G199" s="57">
        <v>6180</v>
      </c>
      <c r="H199" s="57">
        <f t="shared" si="41"/>
        <v>8240</v>
      </c>
      <c r="I199" s="25">
        <v>3.6999999999999998E-2</v>
      </c>
      <c r="J199" s="25">
        <v>11.3</v>
      </c>
      <c r="K199" s="162">
        <f t="shared" si="42"/>
        <v>0</v>
      </c>
      <c r="L199" s="162">
        <f t="shared" si="43"/>
        <v>0</v>
      </c>
      <c r="M199" s="15"/>
      <c r="N199" s="64" t="s">
        <v>619</v>
      </c>
      <c r="O199" s="126" t="s">
        <v>845</v>
      </c>
      <c r="P199" s="232" t="s">
        <v>863</v>
      </c>
      <c r="Q199" s="146">
        <f t="shared" si="44"/>
        <v>16480</v>
      </c>
      <c r="R199" s="146">
        <f t="shared" si="45"/>
        <v>8240</v>
      </c>
      <c r="S199" s="134"/>
      <c r="T199" s="138">
        <f t="shared" si="46"/>
        <v>0</v>
      </c>
    </row>
    <row r="200" spans="1:20" ht="21">
      <c r="A200" s="58" t="s">
        <v>227</v>
      </c>
      <c r="B200" s="54" t="s">
        <v>777</v>
      </c>
      <c r="C200" s="25">
        <v>48</v>
      </c>
      <c r="D200" s="25" t="s">
        <v>191</v>
      </c>
      <c r="E200" s="59" t="s">
        <v>657</v>
      </c>
      <c r="F200" s="27">
        <f t="shared" si="40"/>
        <v>17173.333333333332</v>
      </c>
      <c r="G200" s="57">
        <v>6440</v>
      </c>
      <c r="H200" s="57">
        <f t="shared" si="41"/>
        <v>8586.6666666666661</v>
      </c>
      <c r="I200" s="167">
        <v>3.5999999999999997E-2</v>
      </c>
      <c r="J200" s="168">
        <v>12.6</v>
      </c>
      <c r="K200" s="162">
        <f t="shared" si="42"/>
        <v>0</v>
      </c>
      <c r="L200" s="162">
        <f t="shared" si="43"/>
        <v>0</v>
      </c>
      <c r="M200" s="15"/>
      <c r="N200" s="193" t="s">
        <v>619</v>
      </c>
      <c r="O200" s="126" t="s">
        <v>845</v>
      </c>
      <c r="P200" s="232" t="s">
        <v>863</v>
      </c>
      <c r="Q200" s="146">
        <f t="shared" si="44"/>
        <v>17173.333333333332</v>
      </c>
      <c r="R200" s="146">
        <f t="shared" si="45"/>
        <v>8586.6666666666661</v>
      </c>
      <c r="S200" s="134"/>
      <c r="T200" s="138">
        <f t="shared" si="46"/>
        <v>0</v>
      </c>
    </row>
    <row r="201" spans="1:20" hidden="1">
      <c r="A201" s="58" t="s">
        <v>228</v>
      </c>
      <c r="B201" s="54" t="s">
        <v>711</v>
      </c>
      <c r="C201" s="25">
        <v>49</v>
      </c>
      <c r="D201" s="25" t="s">
        <v>191</v>
      </c>
      <c r="E201" s="59" t="s">
        <v>657</v>
      </c>
      <c r="F201" s="27">
        <f t="shared" ref="F201:F232" si="47">H201*E201</f>
        <v>19040</v>
      </c>
      <c r="G201" s="57">
        <v>7140</v>
      </c>
      <c r="H201" s="57">
        <f t="shared" si="41"/>
        <v>9520</v>
      </c>
      <c r="I201" s="57"/>
      <c r="J201" s="57"/>
      <c r="K201" s="162">
        <f t="shared" si="42"/>
        <v>0</v>
      </c>
      <c r="L201" s="162">
        <f t="shared" si="43"/>
        <v>0</v>
      </c>
      <c r="M201" s="15"/>
      <c r="N201" s="64" t="s">
        <v>619</v>
      </c>
      <c r="O201" s="64"/>
      <c r="P201" s="97" t="s">
        <v>490</v>
      </c>
      <c r="Q201" s="146">
        <f t="shared" si="44"/>
        <v>19040</v>
      </c>
      <c r="R201" s="146">
        <f t="shared" si="45"/>
        <v>9520</v>
      </c>
      <c r="S201" s="134"/>
      <c r="T201" s="138">
        <f t="shared" si="46"/>
        <v>0</v>
      </c>
    </row>
    <row r="202" spans="1:20" ht="25.5">
      <c r="A202" s="58" t="s">
        <v>783</v>
      </c>
      <c r="B202" s="54" t="s">
        <v>816</v>
      </c>
      <c r="C202" s="25">
        <v>49</v>
      </c>
      <c r="D202" s="25" t="s">
        <v>191</v>
      </c>
      <c r="E202" s="59" t="s">
        <v>657</v>
      </c>
      <c r="F202" s="27">
        <f t="shared" si="47"/>
        <v>14800</v>
      </c>
      <c r="G202" s="57">
        <v>6380</v>
      </c>
      <c r="H202" s="57">
        <v>7400</v>
      </c>
      <c r="I202" s="167">
        <v>3.4000000000000002E-2</v>
      </c>
      <c r="J202" s="168">
        <v>12</v>
      </c>
      <c r="K202" s="162">
        <f t="shared" si="42"/>
        <v>0</v>
      </c>
      <c r="L202" s="162">
        <f t="shared" si="43"/>
        <v>0</v>
      </c>
      <c r="M202" s="15" t="s">
        <v>781</v>
      </c>
      <c r="N202" s="64" t="s">
        <v>619</v>
      </c>
      <c r="O202" s="64"/>
      <c r="P202" s="232" t="s">
        <v>865</v>
      </c>
      <c r="Q202" s="146">
        <f t="shared" si="44"/>
        <v>14800</v>
      </c>
      <c r="R202" s="146">
        <f t="shared" si="45"/>
        <v>7400</v>
      </c>
      <c r="S202" s="134"/>
      <c r="T202" s="138">
        <f t="shared" si="46"/>
        <v>0</v>
      </c>
    </row>
    <row r="203" spans="1:20" hidden="1">
      <c r="A203" s="58" t="s">
        <v>229</v>
      </c>
      <c r="B203" s="54" t="s">
        <v>230</v>
      </c>
      <c r="C203" s="25">
        <v>49</v>
      </c>
      <c r="D203" s="25" t="s">
        <v>191</v>
      </c>
      <c r="E203" s="59" t="s">
        <v>657</v>
      </c>
      <c r="F203" s="27">
        <f t="shared" si="47"/>
        <v>19040</v>
      </c>
      <c r="G203" s="57">
        <v>7140</v>
      </c>
      <c r="H203" s="57">
        <f t="shared" si="41"/>
        <v>9520</v>
      </c>
      <c r="I203" s="57"/>
      <c r="J203" s="57"/>
      <c r="K203" s="162">
        <f t="shared" si="42"/>
        <v>0</v>
      </c>
      <c r="L203" s="162">
        <f t="shared" si="43"/>
        <v>0</v>
      </c>
      <c r="M203" s="15"/>
      <c r="N203" s="64" t="s">
        <v>619</v>
      </c>
      <c r="O203" s="64"/>
      <c r="P203" s="97" t="s">
        <v>490</v>
      </c>
      <c r="Q203" s="146">
        <f t="shared" si="44"/>
        <v>19040</v>
      </c>
      <c r="R203" s="146">
        <f t="shared" si="45"/>
        <v>9520</v>
      </c>
      <c r="S203" s="134"/>
      <c r="T203" s="138">
        <f t="shared" si="46"/>
        <v>0</v>
      </c>
    </row>
    <row r="204" spans="1:20" ht="21" hidden="1">
      <c r="A204" s="58" t="s">
        <v>231</v>
      </c>
      <c r="B204" s="54" t="s">
        <v>232</v>
      </c>
      <c r="C204" s="25">
        <v>49</v>
      </c>
      <c r="D204" s="25" t="s">
        <v>191</v>
      </c>
      <c r="E204" s="59" t="s">
        <v>657</v>
      </c>
      <c r="F204" s="27">
        <f t="shared" si="47"/>
        <v>18613.333333333332</v>
      </c>
      <c r="G204" s="57">
        <v>6980</v>
      </c>
      <c r="H204" s="57">
        <f t="shared" si="41"/>
        <v>9306.6666666666661</v>
      </c>
      <c r="I204" s="167">
        <v>3.7999999999999999E-2</v>
      </c>
      <c r="J204" s="168">
        <v>12.7</v>
      </c>
      <c r="K204" s="162">
        <f t="shared" si="42"/>
        <v>0</v>
      </c>
      <c r="L204" s="162">
        <f t="shared" si="43"/>
        <v>0</v>
      </c>
      <c r="M204" s="15" t="s">
        <v>781</v>
      </c>
      <c r="N204" s="64" t="s">
        <v>619</v>
      </c>
      <c r="O204" s="126" t="s">
        <v>845</v>
      </c>
      <c r="P204" s="97" t="s">
        <v>490</v>
      </c>
      <c r="Q204" s="146">
        <f t="shared" si="44"/>
        <v>18613.333333333332</v>
      </c>
      <c r="R204" s="146">
        <f t="shared" si="45"/>
        <v>9306.6666666666661</v>
      </c>
      <c r="S204" s="134"/>
      <c r="T204" s="138">
        <f t="shared" si="46"/>
        <v>0</v>
      </c>
    </row>
    <row r="205" spans="1:20" hidden="1">
      <c r="A205" s="58" t="s">
        <v>233</v>
      </c>
      <c r="B205" s="108" t="s">
        <v>738</v>
      </c>
      <c r="C205" s="25">
        <v>49</v>
      </c>
      <c r="D205" s="25" t="s">
        <v>191</v>
      </c>
      <c r="E205" s="59" t="s">
        <v>657</v>
      </c>
      <c r="F205" s="27">
        <f t="shared" si="47"/>
        <v>19040</v>
      </c>
      <c r="G205" s="57">
        <v>7140</v>
      </c>
      <c r="H205" s="57">
        <f t="shared" si="41"/>
        <v>9520</v>
      </c>
      <c r="I205" s="25">
        <v>4.1000000000000002E-2</v>
      </c>
      <c r="J205" s="25">
        <v>15</v>
      </c>
      <c r="K205" s="162">
        <f t="shared" si="42"/>
        <v>0</v>
      </c>
      <c r="L205" s="162">
        <f t="shared" si="43"/>
        <v>0</v>
      </c>
      <c r="M205" s="15"/>
      <c r="N205" s="64" t="s">
        <v>619</v>
      </c>
      <c r="O205" s="64"/>
      <c r="P205" s="97" t="s">
        <v>490</v>
      </c>
      <c r="Q205" s="146">
        <f t="shared" si="44"/>
        <v>19040</v>
      </c>
      <c r="R205" s="146">
        <f t="shared" si="45"/>
        <v>9520</v>
      </c>
      <c r="S205" s="134"/>
      <c r="T205" s="138">
        <f t="shared" si="46"/>
        <v>0</v>
      </c>
    </row>
    <row r="206" spans="1:20" hidden="1">
      <c r="A206" s="60" t="s">
        <v>234</v>
      </c>
      <c r="B206" s="61" t="s">
        <v>712</v>
      </c>
      <c r="C206" s="24">
        <v>49</v>
      </c>
      <c r="D206" s="24" t="s">
        <v>191</v>
      </c>
      <c r="E206" s="62" t="s">
        <v>657</v>
      </c>
      <c r="F206" s="27">
        <f t="shared" si="47"/>
        <v>19333.333333333336</v>
      </c>
      <c r="G206" s="63">
        <v>7250</v>
      </c>
      <c r="H206" s="57">
        <f t="shared" si="41"/>
        <v>9666.6666666666679</v>
      </c>
      <c r="I206" s="57"/>
      <c r="J206" s="57"/>
      <c r="K206" s="162">
        <f t="shared" si="42"/>
        <v>0</v>
      </c>
      <c r="L206" s="162">
        <f t="shared" si="43"/>
        <v>0</v>
      </c>
      <c r="M206" s="15"/>
      <c r="N206" s="64" t="s">
        <v>619</v>
      </c>
      <c r="O206" s="64"/>
      <c r="P206" s="97" t="s">
        <v>490</v>
      </c>
      <c r="Q206" s="146">
        <f t="shared" si="44"/>
        <v>19333.333333333336</v>
      </c>
      <c r="R206" s="146">
        <f t="shared" si="45"/>
        <v>9666.6666666666679</v>
      </c>
      <c r="S206" s="134"/>
      <c r="T206" s="138">
        <f t="shared" si="46"/>
        <v>0</v>
      </c>
    </row>
    <row r="207" spans="1:20" ht="21" hidden="1">
      <c r="A207" s="58" t="s">
        <v>235</v>
      </c>
      <c r="B207" s="54" t="s">
        <v>713</v>
      </c>
      <c r="C207" s="25">
        <v>49</v>
      </c>
      <c r="D207" s="25" t="s">
        <v>191</v>
      </c>
      <c r="E207" s="59" t="s">
        <v>657</v>
      </c>
      <c r="F207" s="27">
        <f t="shared" si="47"/>
        <v>18613.333333333332</v>
      </c>
      <c r="G207" s="57">
        <v>6980</v>
      </c>
      <c r="H207" s="57">
        <f t="shared" si="41"/>
        <v>9306.6666666666661</v>
      </c>
      <c r="I207" s="25">
        <v>3.6999999999999998E-2</v>
      </c>
      <c r="J207" s="25">
        <v>12.6</v>
      </c>
      <c r="K207" s="162">
        <f t="shared" si="42"/>
        <v>0</v>
      </c>
      <c r="L207" s="162">
        <f t="shared" si="43"/>
        <v>0</v>
      </c>
      <c r="M207" s="15"/>
      <c r="N207" s="64" t="s">
        <v>619</v>
      </c>
      <c r="O207" s="126" t="s">
        <v>845</v>
      </c>
      <c r="P207" s="97" t="s">
        <v>490</v>
      </c>
      <c r="Q207" s="146">
        <f t="shared" si="44"/>
        <v>18613.333333333332</v>
      </c>
      <c r="R207" s="146">
        <f t="shared" si="45"/>
        <v>9306.6666666666661</v>
      </c>
      <c r="S207" s="134"/>
      <c r="T207" s="138">
        <f t="shared" si="46"/>
        <v>0</v>
      </c>
    </row>
    <row r="208" spans="1:20" hidden="1">
      <c r="A208" s="60" t="s">
        <v>236</v>
      </c>
      <c r="B208" s="61" t="s">
        <v>714</v>
      </c>
      <c r="C208" s="24">
        <v>49</v>
      </c>
      <c r="D208" s="24" t="s">
        <v>191</v>
      </c>
      <c r="E208" s="62" t="s">
        <v>657</v>
      </c>
      <c r="F208" s="27">
        <f t="shared" si="47"/>
        <v>19333.333333333336</v>
      </c>
      <c r="G208" s="63">
        <v>7250</v>
      </c>
      <c r="H208" s="57">
        <f t="shared" si="41"/>
        <v>9666.6666666666679</v>
      </c>
      <c r="I208" s="57"/>
      <c r="J208" s="57"/>
      <c r="K208" s="162">
        <f t="shared" si="42"/>
        <v>0</v>
      </c>
      <c r="L208" s="162">
        <f t="shared" si="43"/>
        <v>0</v>
      </c>
      <c r="M208" s="15"/>
      <c r="N208" s="64" t="s">
        <v>619</v>
      </c>
      <c r="O208" s="64"/>
      <c r="P208" s="97" t="s">
        <v>490</v>
      </c>
      <c r="Q208" s="146">
        <f t="shared" si="44"/>
        <v>19333.333333333336</v>
      </c>
      <c r="R208" s="146">
        <f t="shared" si="45"/>
        <v>9666.6666666666679</v>
      </c>
      <c r="S208" s="134"/>
      <c r="T208" s="138">
        <f t="shared" si="46"/>
        <v>0</v>
      </c>
    </row>
    <row r="209" spans="1:20">
      <c r="A209" s="58" t="s">
        <v>237</v>
      </c>
      <c r="B209" s="54" t="s">
        <v>238</v>
      </c>
      <c r="C209" s="25">
        <v>49</v>
      </c>
      <c r="D209" s="25" t="s">
        <v>191</v>
      </c>
      <c r="E209" s="59" t="s">
        <v>657</v>
      </c>
      <c r="F209" s="27">
        <f t="shared" si="47"/>
        <v>17580</v>
      </c>
      <c r="G209" s="57">
        <v>6980</v>
      </c>
      <c r="H209" s="57">
        <v>8790</v>
      </c>
      <c r="I209" s="25">
        <v>3.6999999999999998E-2</v>
      </c>
      <c r="J209" s="25">
        <v>12.5</v>
      </c>
      <c r="K209" s="162">
        <f t="shared" si="42"/>
        <v>0</v>
      </c>
      <c r="L209" s="162">
        <f t="shared" si="43"/>
        <v>0</v>
      </c>
      <c r="M209" s="15"/>
      <c r="N209" s="64" t="s">
        <v>619</v>
      </c>
      <c r="O209" s="64"/>
      <c r="P209" s="232" t="s">
        <v>863</v>
      </c>
      <c r="Q209" s="146">
        <f t="shared" si="44"/>
        <v>17580</v>
      </c>
      <c r="R209" s="146">
        <f t="shared" si="45"/>
        <v>8790</v>
      </c>
      <c r="S209" s="134"/>
      <c r="T209" s="138">
        <f t="shared" si="46"/>
        <v>0</v>
      </c>
    </row>
    <row r="210" spans="1:20" ht="25.5">
      <c r="A210" s="58" t="s">
        <v>239</v>
      </c>
      <c r="B210" s="54" t="s">
        <v>715</v>
      </c>
      <c r="C210" s="25">
        <v>49</v>
      </c>
      <c r="D210" s="25" t="s">
        <v>191</v>
      </c>
      <c r="E210" s="59" t="s">
        <v>657</v>
      </c>
      <c r="F210" s="27">
        <f t="shared" si="47"/>
        <v>19040</v>
      </c>
      <c r="G210" s="57">
        <v>7140</v>
      </c>
      <c r="H210" s="57">
        <f t="shared" si="41"/>
        <v>9520</v>
      </c>
      <c r="I210" s="25">
        <v>3.6999999999999998E-2</v>
      </c>
      <c r="J210" s="25">
        <v>12.6</v>
      </c>
      <c r="K210" s="162">
        <f t="shared" si="42"/>
        <v>0</v>
      </c>
      <c r="L210" s="162">
        <f t="shared" si="43"/>
        <v>0</v>
      </c>
      <c r="M210" s="14" t="s">
        <v>128</v>
      </c>
      <c r="N210" s="64" t="s">
        <v>619</v>
      </c>
      <c r="O210" s="126" t="s">
        <v>845</v>
      </c>
      <c r="P210" s="232" t="s">
        <v>865</v>
      </c>
      <c r="Q210" s="146">
        <f t="shared" si="44"/>
        <v>19040</v>
      </c>
      <c r="R210" s="146">
        <f t="shared" si="45"/>
        <v>9520</v>
      </c>
      <c r="S210" s="134"/>
      <c r="T210" s="138">
        <f t="shared" si="46"/>
        <v>0</v>
      </c>
    </row>
    <row r="211" spans="1:20" hidden="1">
      <c r="A211" s="58" t="s">
        <v>523</v>
      </c>
      <c r="B211" s="54" t="s">
        <v>524</v>
      </c>
      <c r="C211" s="25">
        <v>49</v>
      </c>
      <c r="D211" s="25" t="s">
        <v>191</v>
      </c>
      <c r="E211" s="59" t="s">
        <v>657</v>
      </c>
      <c r="F211" s="27">
        <f t="shared" si="47"/>
        <v>19040</v>
      </c>
      <c r="G211" s="57">
        <v>7140</v>
      </c>
      <c r="H211" s="57">
        <f t="shared" si="41"/>
        <v>9520</v>
      </c>
      <c r="I211" s="57"/>
      <c r="J211" s="57"/>
      <c r="K211" s="162">
        <f t="shared" si="42"/>
        <v>0</v>
      </c>
      <c r="L211" s="162">
        <f t="shared" si="43"/>
        <v>0</v>
      </c>
      <c r="M211" s="2"/>
      <c r="N211" s="64" t="s">
        <v>619</v>
      </c>
      <c r="O211" s="64"/>
      <c r="P211" s="97" t="s">
        <v>490</v>
      </c>
      <c r="Q211" s="146">
        <f t="shared" si="44"/>
        <v>19040</v>
      </c>
      <c r="R211" s="146">
        <f t="shared" si="45"/>
        <v>9520</v>
      </c>
      <c r="S211" s="134"/>
      <c r="T211" s="138">
        <f t="shared" si="46"/>
        <v>0</v>
      </c>
    </row>
    <row r="212" spans="1:20" hidden="1">
      <c r="A212" s="58" t="s">
        <v>240</v>
      </c>
      <c r="B212" s="54" t="s">
        <v>241</v>
      </c>
      <c r="C212" s="25">
        <v>50</v>
      </c>
      <c r="D212" s="25" t="s">
        <v>191</v>
      </c>
      <c r="E212" s="59" t="s">
        <v>657</v>
      </c>
      <c r="F212" s="27">
        <f t="shared" si="47"/>
        <v>19280</v>
      </c>
      <c r="G212" s="57">
        <v>7230</v>
      </c>
      <c r="H212" s="57">
        <f t="shared" si="41"/>
        <v>9640</v>
      </c>
      <c r="I212" s="57"/>
      <c r="J212" s="57"/>
      <c r="K212" s="162">
        <f t="shared" si="42"/>
        <v>0</v>
      </c>
      <c r="L212" s="162">
        <f t="shared" si="43"/>
        <v>0</v>
      </c>
      <c r="M212" s="15"/>
      <c r="N212" s="64" t="s">
        <v>619</v>
      </c>
      <c r="O212" s="64"/>
      <c r="P212" s="97" t="s">
        <v>490</v>
      </c>
      <c r="Q212" s="146">
        <f t="shared" si="44"/>
        <v>19280</v>
      </c>
      <c r="R212" s="146">
        <f t="shared" si="45"/>
        <v>9640</v>
      </c>
      <c r="S212" s="134"/>
      <c r="T212" s="138">
        <f t="shared" si="46"/>
        <v>0</v>
      </c>
    </row>
    <row r="213" spans="1:20" ht="21">
      <c r="A213" s="58" t="s">
        <v>242</v>
      </c>
      <c r="B213" s="54" t="s">
        <v>243</v>
      </c>
      <c r="C213" s="25">
        <v>60</v>
      </c>
      <c r="D213" s="25" t="s">
        <v>191</v>
      </c>
      <c r="E213" s="59" t="s">
        <v>657</v>
      </c>
      <c r="F213" s="27">
        <f t="shared" si="47"/>
        <v>22266.666666666664</v>
      </c>
      <c r="G213" s="57">
        <v>8350</v>
      </c>
      <c r="H213" s="57">
        <f t="shared" si="41"/>
        <v>11133.333333333332</v>
      </c>
      <c r="I213" s="25">
        <v>4.4999999999999998E-2</v>
      </c>
      <c r="J213" s="25">
        <v>16.100000000000001</v>
      </c>
      <c r="K213" s="162">
        <f t="shared" si="42"/>
        <v>0</v>
      </c>
      <c r="L213" s="162">
        <f t="shared" si="43"/>
        <v>0</v>
      </c>
      <c r="M213" s="15"/>
      <c r="N213" s="64" t="s">
        <v>619</v>
      </c>
      <c r="O213" s="126" t="s">
        <v>845</v>
      </c>
      <c r="P213" s="232" t="s">
        <v>863</v>
      </c>
      <c r="Q213" s="146">
        <f t="shared" si="44"/>
        <v>22266.666666666664</v>
      </c>
      <c r="R213" s="146">
        <f t="shared" si="45"/>
        <v>11133.333333333332</v>
      </c>
      <c r="S213" s="134"/>
      <c r="T213" s="138">
        <f t="shared" si="46"/>
        <v>0</v>
      </c>
    </row>
    <row r="214" spans="1:20" ht="21">
      <c r="A214" s="58" t="s">
        <v>244</v>
      </c>
      <c r="B214" s="54" t="s">
        <v>716</v>
      </c>
      <c r="C214" s="25">
        <v>64</v>
      </c>
      <c r="D214" s="25" t="s">
        <v>191</v>
      </c>
      <c r="E214" s="59" t="s">
        <v>657</v>
      </c>
      <c r="F214" s="27">
        <f t="shared" si="47"/>
        <v>22960</v>
      </c>
      <c r="G214" s="57">
        <v>8750</v>
      </c>
      <c r="H214" s="57">
        <v>11480</v>
      </c>
      <c r="I214" s="25">
        <v>4.3999999999999997E-2</v>
      </c>
      <c r="J214" s="25">
        <v>15.6</v>
      </c>
      <c r="K214" s="162">
        <f t="shared" si="42"/>
        <v>0</v>
      </c>
      <c r="L214" s="162">
        <f t="shared" si="43"/>
        <v>0</v>
      </c>
      <c r="M214" s="15" t="s">
        <v>781</v>
      </c>
      <c r="N214" s="64" t="s">
        <v>619</v>
      </c>
      <c r="O214" s="126" t="s">
        <v>845</v>
      </c>
      <c r="P214" s="232" t="s">
        <v>863</v>
      </c>
      <c r="Q214" s="146">
        <f t="shared" si="44"/>
        <v>22960</v>
      </c>
      <c r="R214" s="146">
        <f t="shared" si="45"/>
        <v>11480</v>
      </c>
      <c r="S214" s="134"/>
      <c r="T214" s="138">
        <f t="shared" si="46"/>
        <v>0</v>
      </c>
    </row>
    <row r="215" spans="1:20">
      <c r="A215" s="58" t="s">
        <v>525</v>
      </c>
      <c r="B215" s="54" t="s">
        <v>717</v>
      </c>
      <c r="C215" s="25">
        <v>88</v>
      </c>
      <c r="D215" s="25" t="s">
        <v>191</v>
      </c>
      <c r="E215" s="59" t="s">
        <v>658</v>
      </c>
      <c r="F215" s="27">
        <f t="shared" si="47"/>
        <v>17773.333333333332</v>
      </c>
      <c r="G215" s="57">
        <v>13330</v>
      </c>
      <c r="H215" s="57">
        <f t="shared" si="41"/>
        <v>17773.333333333332</v>
      </c>
      <c r="I215" s="57"/>
      <c r="J215" s="57"/>
      <c r="K215" s="162">
        <f t="shared" si="42"/>
        <v>0</v>
      </c>
      <c r="L215" s="162">
        <f t="shared" si="43"/>
        <v>0</v>
      </c>
      <c r="M215" s="14" t="s">
        <v>252</v>
      </c>
      <c r="N215" s="64" t="s">
        <v>619</v>
      </c>
      <c r="O215" s="64"/>
      <c r="P215" s="232" t="s">
        <v>863</v>
      </c>
      <c r="Q215" s="146">
        <f t="shared" si="44"/>
        <v>17773.333333333332</v>
      </c>
      <c r="R215" s="146">
        <f t="shared" si="45"/>
        <v>17773.333333333332</v>
      </c>
      <c r="S215" s="134"/>
      <c r="T215" s="138">
        <f t="shared" si="46"/>
        <v>0</v>
      </c>
    </row>
    <row r="216" spans="1:20" ht="21" hidden="1">
      <c r="A216" s="58" t="s">
        <v>245</v>
      </c>
      <c r="B216" s="54" t="s">
        <v>246</v>
      </c>
      <c r="C216" s="25">
        <v>100</v>
      </c>
      <c r="D216" s="25" t="s">
        <v>191</v>
      </c>
      <c r="E216" s="59" t="s">
        <v>658</v>
      </c>
      <c r="F216" s="27">
        <f t="shared" si="47"/>
        <v>21120</v>
      </c>
      <c r="G216" s="57">
        <v>15840</v>
      </c>
      <c r="H216" s="57">
        <f t="shared" si="41"/>
        <v>21120</v>
      </c>
      <c r="I216" s="25">
        <v>3.9E-2</v>
      </c>
      <c r="J216" s="25">
        <v>13.7</v>
      </c>
      <c r="K216" s="162">
        <f t="shared" si="42"/>
        <v>0</v>
      </c>
      <c r="L216" s="162">
        <f t="shared" si="43"/>
        <v>0</v>
      </c>
      <c r="M216" s="15"/>
      <c r="N216" s="64" t="s">
        <v>619</v>
      </c>
      <c r="O216" s="126" t="s">
        <v>845</v>
      </c>
      <c r="P216" s="97" t="s">
        <v>490</v>
      </c>
      <c r="Q216" s="146">
        <f t="shared" si="44"/>
        <v>21120</v>
      </c>
      <c r="R216" s="146">
        <f t="shared" si="45"/>
        <v>21120</v>
      </c>
      <c r="S216" s="134"/>
      <c r="T216" s="138">
        <f t="shared" si="46"/>
        <v>0</v>
      </c>
    </row>
    <row r="217" spans="1:20">
      <c r="A217" s="58" t="s">
        <v>247</v>
      </c>
      <c r="B217" s="54" t="s">
        <v>248</v>
      </c>
      <c r="C217" s="25">
        <v>100</v>
      </c>
      <c r="D217" s="25" t="s">
        <v>191</v>
      </c>
      <c r="E217" s="59" t="s">
        <v>658</v>
      </c>
      <c r="F217" s="27">
        <f t="shared" si="47"/>
        <v>21120</v>
      </c>
      <c r="G217" s="57">
        <v>16590</v>
      </c>
      <c r="H217" s="57">
        <v>21120</v>
      </c>
      <c r="I217" s="167">
        <v>4.1000000000000002E-2</v>
      </c>
      <c r="J217" s="168">
        <v>13.6</v>
      </c>
      <c r="K217" s="162">
        <f t="shared" si="42"/>
        <v>0</v>
      </c>
      <c r="L217" s="162">
        <f t="shared" si="43"/>
        <v>0</v>
      </c>
      <c r="M217" s="198"/>
      <c r="N217" s="64" t="s">
        <v>619</v>
      </c>
      <c r="O217" s="64"/>
      <c r="P217" s="235" t="s">
        <v>864</v>
      </c>
      <c r="Q217" s="146">
        <f t="shared" si="44"/>
        <v>21120</v>
      </c>
      <c r="R217" s="146">
        <f t="shared" si="45"/>
        <v>21120</v>
      </c>
      <c r="S217" s="134"/>
      <c r="T217" s="138">
        <f t="shared" si="46"/>
        <v>0</v>
      </c>
    </row>
    <row r="218" spans="1:20" ht="21" hidden="1">
      <c r="A218" s="58" t="s">
        <v>249</v>
      </c>
      <c r="B218" s="54" t="s">
        <v>250</v>
      </c>
      <c r="C218" s="25">
        <v>100</v>
      </c>
      <c r="D218" s="25" t="s">
        <v>191</v>
      </c>
      <c r="E218" s="59" t="s">
        <v>658</v>
      </c>
      <c r="F218" s="27">
        <f t="shared" si="47"/>
        <v>19200</v>
      </c>
      <c r="G218" s="57">
        <v>14400</v>
      </c>
      <c r="H218" s="57">
        <f t="shared" si="41"/>
        <v>19200</v>
      </c>
      <c r="I218" s="25">
        <v>3.6999999999999998E-2</v>
      </c>
      <c r="J218" s="168">
        <v>12.4</v>
      </c>
      <c r="K218" s="162">
        <f t="shared" si="42"/>
        <v>0</v>
      </c>
      <c r="L218" s="162">
        <f t="shared" si="43"/>
        <v>0</v>
      </c>
      <c r="M218" s="15"/>
      <c r="N218" s="64" t="s">
        <v>619</v>
      </c>
      <c r="O218" s="126" t="s">
        <v>845</v>
      </c>
      <c r="P218" s="97" t="s">
        <v>490</v>
      </c>
      <c r="Q218" s="146">
        <f t="shared" si="44"/>
        <v>19200</v>
      </c>
      <c r="R218" s="146">
        <f t="shared" si="45"/>
        <v>19200</v>
      </c>
      <c r="S218" s="134"/>
      <c r="T218" s="138">
        <f t="shared" si="46"/>
        <v>0</v>
      </c>
    </row>
    <row r="219" spans="1:20" ht="64.5" hidden="1">
      <c r="A219" s="58" t="s">
        <v>526</v>
      </c>
      <c r="B219" s="54" t="s">
        <v>850</v>
      </c>
      <c r="C219" s="25">
        <v>100</v>
      </c>
      <c r="D219" s="25" t="s">
        <v>191</v>
      </c>
      <c r="E219" s="59" t="s">
        <v>658</v>
      </c>
      <c r="F219" s="27">
        <f t="shared" si="47"/>
        <v>16200</v>
      </c>
      <c r="G219" s="57">
        <v>15600</v>
      </c>
      <c r="H219" s="57">
        <v>16200</v>
      </c>
      <c r="I219" s="25">
        <v>3.6999999999999998E-2</v>
      </c>
      <c r="J219" s="25">
        <v>13</v>
      </c>
      <c r="K219" s="162">
        <f t="shared" si="42"/>
        <v>0</v>
      </c>
      <c r="L219" s="162">
        <f t="shared" si="43"/>
        <v>0</v>
      </c>
      <c r="M219" s="15" t="s">
        <v>814</v>
      </c>
      <c r="N219" s="64" t="s">
        <v>619</v>
      </c>
      <c r="O219" s="64"/>
      <c r="P219" s="97" t="s">
        <v>490</v>
      </c>
      <c r="Q219" s="146">
        <f t="shared" si="44"/>
        <v>16200</v>
      </c>
      <c r="R219" s="146">
        <f t="shared" si="45"/>
        <v>16200</v>
      </c>
      <c r="S219" s="134"/>
      <c r="T219" s="138">
        <f t="shared" si="46"/>
        <v>0</v>
      </c>
    </row>
    <row r="220" spans="1:20" ht="21" hidden="1">
      <c r="A220" s="58" t="s">
        <v>251</v>
      </c>
      <c r="B220" s="54" t="s">
        <v>818</v>
      </c>
      <c r="C220" s="25">
        <v>100</v>
      </c>
      <c r="D220" s="25" t="s">
        <v>191</v>
      </c>
      <c r="E220" s="59" t="s">
        <v>658</v>
      </c>
      <c r="F220" s="27">
        <f t="shared" si="47"/>
        <v>20800</v>
      </c>
      <c r="G220" s="57">
        <v>15600</v>
      </c>
      <c r="H220" s="57">
        <f t="shared" si="41"/>
        <v>20800</v>
      </c>
      <c r="I220" s="57"/>
      <c r="J220" s="57"/>
      <c r="K220" s="162">
        <f t="shared" si="42"/>
        <v>0</v>
      </c>
      <c r="L220" s="162">
        <f t="shared" si="43"/>
        <v>0</v>
      </c>
      <c r="M220" s="14"/>
      <c r="N220" s="64" t="s">
        <v>619</v>
      </c>
      <c r="O220" s="126" t="s">
        <v>845</v>
      </c>
      <c r="P220" s="97" t="s">
        <v>490</v>
      </c>
      <c r="Q220" s="146">
        <f t="shared" si="44"/>
        <v>20800</v>
      </c>
      <c r="R220" s="146">
        <f t="shared" si="45"/>
        <v>20800</v>
      </c>
      <c r="S220" s="134"/>
      <c r="T220" s="138">
        <f t="shared" si="46"/>
        <v>0</v>
      </c>
    </row>
    <row r="221" spans="1:20" hidden="1">
      <c r="A221" s="58" t="s">
        <v>253</v>
      </c>
      <c r="B221" s="54" t="s">
        <v>718</v>
      </c>
      <c r="C221" s="25">
        <v>100</v>
      </c>
      <c r="D221" s="25" t="s">
        <v>191</v>
      </c>
      <c r="E221" s="59" t="s">
        <v>658</v>
      </c>
      <c r="F221" s="27">
        <f t="shared" si="47"/>
        <v>20800</v>
      </c>
      <c r="G221" s="57">
        <v>15600</v>
      </c>
      <c r="H221" s="57">
        <f t="shared" si="41"/>
        <v>20800</v>
      </c>
      <c r="I221" s="57"/>
      <c r="J221" s="57"/>
      <c r="K221" s="162">
        <f t="shared" si="42"/>
        <v>0</v>
      </c>
      <c r="L221" s="162">
        <f t="shared" si="43"/>
        <v>0</v>
      </c>
      <c r="M221" s="15"/>
      <c r="N221" s="64" t="s">
        <v>619</v>
      </c>
      <c r="O221" s="64"/>
      <c r="P221" s="97" t="s">
        <v>490</v>
      </c>
      <c r="Q221" s="146">
        <f t="shared" si="44"/>
        <v>20800</v>
      </c>
      <c r="R221" s="146">
        <f t="shared" si="45"/>
        <v>20800</v>
      </c>
      <c r="S221" s="134"/>
      <c r="T221" s="138">
        <f t="shared" si="46"/>
        <v>0</v>
      </c>
    </row>
    <row r="222" spans="1:20" hidden="1">
      <c r="A222" s="58" t="s">
        <v>254</v>
      </c>
      <c r="B222" s="108" t="s">
        <v>739</v>
      </c>
      <c r="C222" s="25">
        <v>100</v>
      </c>
      <c r="D222" s="25" t="s">
        <v>191</v>
      </c>
      <c r="E222" s="59" t="s">
        <v>658</v>
      </c>
      <c r="F222" s="27">
        <f t="shared" si="47"/>
        <v>21680</v>
      </c>
      <c r="G222" s="57">
        <v>16260</v>
      </c>
      <c r="H222" s="57">
        <f t="shared" si="41"/>
        <v>21680</v>
      </c>
      <c r="I222" s="25">
        <v>0.04</v>
      </c>
      <c r="J222" s="25">
        <v>16</v>
      </c>
      <c r="K222" s="162">
        <f t="shared" si="42"/>
        <v>0</v>
      </c>
      <c r="L222" s="162">
        <f t="shared" si="43"/>
        <v>0</v>
      </c>
      <c r="M222" s="15"/>
      <c r="N222" s="64" t="s">
        <v>619</v>
      </c>
      <c r="O222" s="64"/>
      <c r="P222" s="97" t="s">
        <v>490</v>
      </c>
      <c r="Q222" s="146">
        <f t="shared" ref="Q222:Q235" si="48">F222*(1-$Q$10)</f>
        <v>21680</v>
      </c>
      <c r="R222" s="146">
        <f t="shared" si="45"/>
        <v>21680</v>
      </c>
      <c r="S222" s="134"/>
      <c r="T222" s="138">
        <f t="shared" ref="T222:T235" si="49">S222*Q222</f>
        <v>0</v>
      </c>
    </row>
    <row r="223" spans="1:20" ht="21">
      <c r="A223" s="58" t="s">
        <v>255</v>
      </c>
      <c r="B223" s="54" t="s">
        <v>256</v>
      </c>
      <c r="C223" s="25" t="s">
        <v>176</v>
      </c>
      <c r="D223" s="25" t="s">
        <v>191</v>
      </c>
      <c r="E223" s="59" t="s">
        <v>658</v>
      </c>
      <c r="F223" s="27">
        <f t="shared" si="47"/>
        <v>21266.666666666664</v>
      </c>
      <c r="G223" s="57">
        <v>15950</v>
      </c>
      <c r="H223" s="57">
        <f t="shared" si="41"/>
        <v>21266.666666666664</v>
      </c>
      <c r="I223" s="57"/>
      <c r="J223" s="57"/>
      <c r="K223" s="162">
        <f t="shared" si="42"/>
        <v>0</v>
      </c>
      <c r="L223" s="162">
        <f t="shared" si="43"/>
        <v>0</v>
      </c>
      <c r="M223" s="14" t="s">
        <v>128</v>
      </c>
      <c r="N223" s="64" t="s">
        <v>619</v>
      </c>
      <c r="O223" s="126" t="s">
        <v>845</v>
      </c>
      <c r="P223" s="232" t="s">
        <v>863</v>
      </c>
      <c r="Q223" s="146">
        <f t="shared" si="48"/>
        <v>21266.666666666664</v>
      </c>
      <c r="R223" s="146">
        <f t="shared" si="45"/>
        <v>21266.666666666664</v>
      </c>
      <c r="S223" s="134"/>
      <c r="T223" s="138">
        <f t="shared" si="49"/>
        <v>0</v>
      </c>
    </row>
    <row r="224" spans="1:20" ht="21">
      <c r="A224" s="58" t="s">
        <v>784</v>
      </c>
      <c r="B224" s="54" t="s">
        <v>819</v>
      </c>
      <c r="C224" s="25">
        <v>100</v>
      </c>
      <c r="D224" s="25" t="s">
        <v>191</v>
      </c>
      <c r="E224" s="59" t="s">
        <v>658</v>
      </c>
      <c r="F224" s="27">
        <f t="shared" si="47"/>
        <v>17200</v>
      </c>
      <c r="G224" s="57">
        <v>12900</v>
      </c>
      <c r="H224" s="57">
        <f t="shared" si="41"/>
        <v>17200</v>
      </c>
      <c r="I224" s="25">
        <v>3.9E-2</v>
      </c>
      <c r="J224" s="25">
        <v>13.1</v>
      </c>
      <c r="K224" s="162">
        <f t="shared" si="42"/>
        <v>0</v>
      </c>
      <c r="L224" s="162">
        <f t="shared" si="43"/>
        <v>0</v>
      </c>
      <c r="M224" s="18"/>
      <c r="N224" s="64" t="s">
        <v>619</v>
      </c>
      <c r="O224" s="126" t="s">
        <v>845</v>
      </c>
      <c r="P224" s="232" t="s">
        <v>863</v>
      </c>
      <c r="Q224" s="146">
        <f t="shared" si="48"/>
        <v>17200</v>
      </c>
      <c r="R224" s="146">
        <f t="shared" si="45"/>
        <v>17200</v>
      </c>
      <c r="S224" s="134"/>
      <c r="T224" s="138">
        <f t="shared" si="49"/>
        <v>0</v>
      </c>
    </row>
    <row r="225" spans="1:20" ht="21" hidden="1">
      <c r="A225" s="58" t="s">
        <v>784</v>
      </c>
      <c r="B225" s="54" t="s">
        <v>819</v>
      </c>
      <c r="C225" s="25">
        <v>100</v>
      </c>
      <c r="D225" s="25" t="s">
        <v>191</v>
      </c>
      <c r="E225" s="59" t="s">
        <v>658</v>
      </c>
      <c r="F225" s="27">
        <f t="shared" si="47"/>
        <v>17200</v>
      </c>
      <c r="G225" s="57">
        <v>12900</v>
      </c>
      <c r="H225" s="57">
        <f>G225/75*100</f>
        <v>17200</v>
      </c>
      <c r="I225" s="25">
        <v>3.9E-2</v>
      </c>
      <c r="J225" s="25">
        <v>13.1</v>
      </c>
      <c r="K225" s="162">
        <f>I225*S225</f>
        <v>0</v>
      </c>
      <c r="L225" s="162">
        <f>J225*S225</f>
        <v>0</v>
      </c>
      <c r="M225" s="18"/>
      <c r="N225" s="64" t="s">
        <v>619</v>
      </c>
      <c r="O225" s="126" t="s">
        <v>845</v>
      </c>
      <c r="P225" s="97" t="s">
        <v>490</v>
      </c>
      <c r="Q225" s="146">
        <f>F225*(1-$Q$10)</f>
        <v>17200</v>
      </c>
      <c r="R225" s="146">
        <f>H225*(1-$Q$10)</f>
        <v>17200</v>
      </c>
      <c r="S225" s="134"/>
      <c r="T225" s="138">
        <f>S225*Q225</f>
        <v>0</v>
      </c>
    </row>
    <row r="226" spans="1:20" ht="21">
      <c r="A226" s="58" t="s">
        <v>527</v>
      </c>
      <c r="B226" s="54" t="s">
        <v>528</v>
      </c>
      <c r="C226" s="25">
        <v>120</v>
      </c>
      <c r="D226" s="25" t="s">
        <v>191</v>
      </c>
      <c r="E226" s="59" t="s">
        <v>658</v>
      </c>
      <c r="F226" s="27">
        <f t="shared" si="47"/>
        <v>19560</v>
      </c>
      <c r="G226" s="57">
        <v>16800</v>
      </c>
      <c r="H226" s="57">
        <v>19560</v>
      </c>
      <c r="I226" s="25">
        <v>4.2000000000000003E-2</v>
      </c>
      <c r="J226" s="25">
        <v>14.7</v>
      </c>
      <c r="K226" s="162">
        <f t="shared" si="42"/>
        <v>0</v>
      </c>
      <c r="L226" s="162">
        <f t="shared" si="43"/>
        <v>0</v>
      </c>
      <c r="M226" s="15" t="s">
        <v>781</v>
      </c>
      <c r="N226" s="64" t="s">
        <v>619</v>
      </c>
      <c r="O226" s="126" t="s">
        <v>845</v>
      </c>
      <c r="P226" s="232" t="s">
        <v>863</v>
      </c>
      <c r="Q226" s="146">
        <f t="shared" si="48"/>
        <v>19560</v>
      </c>
      <c r="R226" s="146">
        <f t="shared" si="45"/>
        <v>19560</v>
      </c>
      <c r="S226" s="134"/>
      <c r="T226" s="138">
        <f t="shared" si="49"/>
        <v>0</v>
      </c>
    </row>
    <row r="227" spans="1:20" hidden="1">
      <c r="A227" s="58" t="s">
        <v>257</v>
      </c>
      <c r="B227" s="54" t="s">
        <v>719</v>
      </c>
      <c r="C227" s="25">
        <v>120</v>
      </c>
      <c r="D227" s="25" t="s">
        <v>191</v>
      </c>
      <c r="E227" s="59" t="s">
        <v>658</v>
      </c>
      <c r="F227" s="27">
        <f t="shared" si="47"/>
        <v>23733.333333333336</v>
      </c>
      <c r="G227" s="57">
        <v>17800</v>
      </c>
      <c r="H227" s="57">
        <f t="shared" si="41"/>
        <v>23733.333333333336</v>
      </c>
      <c r="I227" s="57"/>
      <c r="J227" s="57"/>
      <c r="K227" s="162">
        <f t="shared" si="42"/>
        <v>0</v>
      </c>
      <c r="L227" s="162">
        <f t="shared" si="43"/>
        <v>0</v>
      </c>
      <c r="M227" s="15"/>
      <c r="N227" s="64" t="s">
        <v>619</v>
      </c>
      <c r="O227" s="64"/>
      <c r="P227" s="97" t="s">
        <v>490</v>
      </c>
      <c r="Q227" s="146">
        <f t="shared" si="48"/>
        <v>23733.333333333336</v>
      </c>
      <c r="R227" s="146">
        <f t="shared" si="45"/>
        <v>23733.333333333336</v>
      </c>
      <c r="S227" s="134"/>
      <c r="T227" s="138">
        <f t="shared" si="49"/>
        <v>0</v>
      </c>
    </row>
    <row r="228" spans="1:20" ht="26.25">
      <c r="A228" s="58" t="s">
        <v>258</v>
      </c>
      <c r="B228" s="54" t="s">
        <v>720</v>
      </c>
      <c r="C228" s="25">
        <v>150</v>
      </c>
      <c r="D228" s="25" t="s">
        <v>191</v>
      </c>
      <c r="E228" s="59" t="s">
        <v>658</v>
      </c>
      <c r="F228" s="27">
        <f t="shared" si="47"/>
        <v>25510</v>
      </c>
      <c r="G228" s="57">
        <v>22100</v>
      </c>
      <c r="H228" s="57">
        <v>25510</v>
      </c>
      <c r="I228" s="25">
        <v>5.1999999999999998E-2</v>
      </c>
      <c r="J228" s="168">
        <v>18.899999999999999</v>
      </c>
      <c r="K228" s="162">
        <f t="shared" si="42"/>
        <v>0</v>
      </c>
      <c r="L228" s="162">
        <f t="shared" si="43"/>
        <v>0</v>
      </c>
      <c r="M228" s="14" t="s">
        <v>172</v>
      </c>
      <c r="N228" s="64" t="s">
        <v>619</v>
      </c>
      <c r="O228" s="126" t="s">
        <v>845</v>
      </c>
      <c r="P228" s="232" t="s">
        <v>863</v>
      </c>
      <c r="Q228" s="146">
        <f t="shared" si="48"/>
        <v>25510</v>
      </c>
      <c r="R228" s="146">
        <f t="shared" si="45"/>
        <v>25510</v>
      </c>
      <c r="S228" s="134"/>
      <c r="T228" s="138">
        <f t="shared" si="49"/>
        <v>0</v>
      </c>
    </row>
    <row r="229" spans="1:20" ht="26.25" hidden="1">
      <c r="A229" s="58" t="s">
        <v>259</v>
      </c>
      <c r="B229" s="54" t="s">
        <v>260</v>
      </c>
      <c r="C229" s="25">
        <v>150</v>
      </c>
      <c r="D229" s="25" t="s">
        <v>191</v>
      </c>
      <c r="E229" s="59" t="s">
        <v>658</v>
      </c>
      <c r="F229" s="27">
        <f t="shared" si="47"/>
        <v>29733.333333333332</v>
      </c>
      <c r="G229" s="57">
        <v>22300</v>
      </c>
      <c r="H229" s="57">
        <f t="shared" si="41"/>
        <v>29733.333333333332</v>
      </c>
      <c r="I229" s="25">
        <v>5.1999999999999998E-2</v>
      </c>
      <c r="J229" s="168">
        <v>18.600000000000001</v>
      </c>
      <c r="K229" s="162">
        <f t="shared" si="42"/>
        <v>0</v>
      </c>
      <c r="L229" s="162">
        <f t="shared" si="43"/>
        <v>0</v>
      </c>
      <c r="M229" s="14" t="s">
        <v>172</v>
      </c>
      <c r="N229" s="64" t="s">
        <v>619</v>
      </c>
      <c r="O229" s="126" t="s">
        <v>845</v>
      </c>
      <c r="P229" s="97" t="s">
        <v>490</v>
      </c>
      <c r="Q229" s="146">
        <f t="shared" si="48"/>
        <v>29733.333333333332</v>
      </c>
      <c r="R229" s="146">
        <f t="shared" si="45"/>
        <v>29733.333333333332</v>
      </c>
      <c r="S229" s="134"/>
      <c r="T229" s="138">
        <f t="shared" si="49"/>
        <v>0</v>
      </c>
    </row>
    <row r="230" spans="1:20" ht="26.25">
      <c r="A230" s="58" t="s">
        <v>261</v>
      </c>
      <c r="B230" s="108" t="s">
        <v>740</v>
      </c>
      <c r="C230" s="25">
        <v>150</v>
      </c>
      <c r="D230" s="25" t="s">
        <v>191</v>
      </c>
      <c r="E230" s="59" t="s">
        <v>658</v>
      </c>
      <c r="F230" s="27">
        <f t="shared" si="47"/>
        <v>27900</v>
      </c>
      <c r="G230" s="57">
        <v>33907</v>
      </c>
      <c r="H230" s="57">
        <v>27900</v>
      </c>
      <c r="I230" s="25">
        <v>5.8000000000000003E-2</v>
      </c>
      <c r="J230" s="25">
        <v>23</v>
      </c>
      <c r="K230" s="162">
        <f t="shared" si="42"/>
        <v>0</v>
      </c>
      <c r="L230" s="162">
        <f t="shared" si="43"/>
        <v>0</v>
      </c>
      <c r="M230" s="14" t="s">
        <v>172</v>
      </c>
      <c r="N230" s="64" t="s">
        <v>619</v>
      </c>
      <c r="O230" s="64"/>
      <c r="P230" s="235" t="s">
        <v>864</v>
      </c>
      <c r="Q230" s="146">
        <f t="shared" si="48"/>
        <v>27900</v>
      </c>
      <c r="R230" s="146">
        <f t="shared" si="45"/>
        <v>27900</v>
      </c>
      <c r="S230" s="134"/>
      <c r="T230" s="138">
        <f t="shared" si="49"/>
        <v>0</v>
      </c>
    </row>
    <row r="231" spans="1:20" ht="26.25" hidden="1">
      <c r="A231" s="58" t="s">
        <v>529</v>
      </c>
      <c r="B231" s="54" t="s">
        <v>530</v>
      </c>
      <c r="C231" s="25">
        <v>150</v>
      </c>
      <c r="D231" s="25" t="s">
        <v>191</v>
      </c>
      <c r="E231" s="59" t="s">
        <v>658</v>
      </c>
      <c r="F231" s="27">
        <f t="shared" si="47"/>
        <v>30706.666666666668</v>
      </c>
      <c r="G231" s="57">
        <v>23030</v>
      </c>
      <c r="H231" s="57">
        <f t="shared" si="41"/>
        <v>30706.666666666668</v>
      </c>
      <c r="I231" s="57"/>
      <c r="J231" s="57"/>
      <c r="K231" s="162">
        <f t="shared" si="42"/>
        <v>0</v>
      </c>
      <c r="L231" s="162">
        <f t="shared" si="43"/>
        <v>0</v>
      </c>
      <c r="M231" s="194" t="s">
        <v>172</v>
      </c>
      <c r="N231" s="64" t="s">
        <v>619</v>
      </c>
      <c r="O231" s="64"/>
      <c r="P231" s="97" t="s">
        <v>490</v>
      </c>
      <c r="Q231" s="146">
        <f t="shared" si="48"/>
        <v>30706.666666666668</v>
      </c>
      <c r="R231" s="146">
        <f t="shared" si="45"/>
        <v>30706.666666666668</v>
      </c>
      <c r="S231" s="134"/>
      <c r="T231" s="138">
        <f t="shared" si="49"/>
        <v>0</v>
      </c>
    </row>
    <row r="232" spans="1:20" ht="39" hidden="1">
      <c r="A232" s="58" t="s">
        <v>262</v>
      </c>
      <c r="B232" s="108" t="s">
        <v>741</v>
      </c>
      <c r="C232" s="25">
        <v>168</v>
      </c>
      <c r="D232" s="25" t="s">
        <v>191</v>
      </c>
      <c r="E232" s="59" t="s">
        <v>658</v>
      </c>
      <c r="F232" s="27">
        <f t="shared" si="47"/>
        <v>35400</v>
      </c>
      <c r="G232" s="57">
        <v>26550</v>
      </c>
      <c r="H232" s="57">
        <f t="shared" si="41"/>
        <v>35400</v>
      </c>
      <c r="I232" s="57"/>
      <c r="J232" s="57"/>
      <c r="K232" s="162">
        <f t="shared" si="42"/>
        <v>0</v>
      </c>
      <c r="L232" s="162">
        <f t="shared" si="43"/>
        <v>0</v>
      </c>
      <c r="M232" s="14" t="s">
        <v>263</v>
      </c>
      <c r="N232" s="64" t="s">
        <v>619</v>
      </c>
      <c r="O232" s="64"/>
      <c r="P232" s="97" t="s">
        <v>490</v>
      </c>
      <c r="Q232" s="146">
        <f t="shared" si="48"/>
        <v>35400</v>
      </c>
      <c r="R232" s="146">
        <f t="shared" si="45"/>
        <v>35400</v>
      </c>
      <c r="S232" s="134"/>
      <c r="T232" s="138">
        <f t="shared" si="49"/>
        <v>0</v>
      </c>
    </row>
    <row r="233" spans="1:20" ht="26.25">
      <c r="A233" s="58" t="s">
        <v>264</v>
      </c>
      <c r="B233" s="54" t="s">
        <v>265</v>
      </c>
      <c r="C233" s="25">
        <v>200</v>
      </c>
      <c r="D233" s="25" t="s">
        <v>191</v>
      </c>
      <c r="E233" s="59" t="s">
        <v>658</v>
      </c>
      <c r="F233" s="27">
        <f>H233*E233</f>
        <v>33900</v>
      </c>
      <c r="G233" s="57">
        <v>31850</v>
      </c>
      <c r="H233" s="57">
        <v>33900</v>
      </c>
      <c r="I233" s="25">
        <v>6.9000000000000006E-2</v>
      </c>
      <c r="J233" s="168">
        <v>24.6</v>
      </c>
      <c r="K233" s="162">
        <f>I233*S233</f>
        <v>0</v>
      </c>
      <c r="L233" s="162">
        <f>J233*S233</f>
        <v>0</v>
      </c>
      <c r="M233" s="14" t="s">
        <v>172</v>
      </c>
      <c r="N233" s="64" t="s">
        <v>619</v>
      </c>
      <c r="O233" s="126" t="s">
        <v>845</v>
      </c>
      <c r="P233" s="235" t="s">
        <v>864</v>
      </c>
      <c r="Q233" s="146">
        <f t="shared" si="48"/>
        <v>33900</v>
      </c>
      <c r="R233" s="146">
        <f>H233*(1-$Q$10)</f>
        <v>33900</v>
      </c>
      <c r="S233" s="134"/>
      <c r="T233" s="138">
        <f t="shared" si="49"/>
        <v>0</v>
      </c>
    </row>
    <row r="234" spans="1:20" ht="39">
      <c r="A234" s="58" t="s">
        <v>821</v>
      </c>
      <c r="B234" s="54" t="s">
        <v>859</v>
      </c>
      <c r="C234" s="25">
        <v>272</v>
      </c>
      <c r="D234" s="25" t="s">
        <v>687</v>
      </c>
      <c r="E234" s="224" t="s">
        <v>658</v>
      </c>
      <c r="F234" s="27">
        <v>46900</v>
      </c>
      <c r="G234" s="225">
        <v>36480</v>
      </c>
      <c r="H234" s="57">
        <v>46900</v>
      </c>
      <c r="I234" s="22">
        <v>8.5999999999999993E-2</v>
      </c>
      <c r="J234" s="22">
        <v>32</v>
      </c>
      <c r="K234" s="226">
        <f>I234*S234</f>
        <v>0</v>
      </c>
      <c r="L234" s="226">
        <f>J234*S234</f>
        <v>0</v>
      </c>
      <c r="M234" s="14" t="s">
        <v>822</v>
      </c>
      <c r="N234" s="227" t="s">
        <v>619</v>
      </c>
      <c r="O234" s="227"/>
      <c r="P234" s="232" t="s">
        <v>863</v>
      </c>
      <c r="Q234" s="228">
        <f>F234*(1-$Q$10)</f>
        <v>46900</v>
      </c>
      <c r="R234" s="228">
        <f>H234*(1-$Q$10)</f>
        <v>46900</v>
      </c>
      <c r="S234" s="229"/>
      <c r="T234" s="230">
        <f>S234*Q234</f>
        <v>0</v>
      </c>
    </row>
    <row r="235" spans="1:20" ht="26.25">
      <c r="A235" s="58" t="s">
        <v>820</v>
      </c>
      <c r="B235" s="54" t="s">
        <v>266</v>
      </c>
      <c r="C235" s="25">
        <v>348</v>
      </c>
      <c r="D235" s="25" t="s">
        <v>191</v>
      </c>
      <c r="E235" s="59" t="s">
        <v>658</v>
      </c>
      <c r="F235" s="27">
        <f>H235*E235</f>
        <v>66654</v>
      </c>
      <c r="G235" s="57">
        <v>49990.5</v>
      </c>
      <c r="H235" s="57">
        <v>66654</v>
      </c>
      <c r="I235" s="167">
        <v>0.122</v>
      </c>
      <c r="J235" s="168">
        <v>43.2</v>
      </c>
      <c r="K235" s="162">
        <f>I235*S235</f>
        <v>0</v>
      </c>
      <c r="L235" s="162">
        <f>J235*S235</f>
        <v>0</v>
      </c>
      <c r="M235" s="14" t="s">
        <v>172</v>
      </c>
      <c r="N235" s="64" t="s">
        <v>619</v>
      </c>
      <c r="O235" s="126" t="s">
        <v>845</v>
      </c>
      <c r="P235" s="235" t="s">
        <v>864</v>
      </c>
      <c r="Q235" s="146">
        <f t="shared" si="48"/>
        <v>66654</v>
      </c>
      <c r="R235" s="146">
        <f>H235*(1-$Q$10)</f>
        <v>66654</v>
      </c>
      <c r="S235" s="134"/>
      <c r="T235" s="138">
        <f t="shared" si="49"/>
        <v>0</v>
      </c>
    </row>
    <row r="236" spans="1:20">
      <c r="A236" s="188" t="s">
        <v>267</v>
      </c>
      <c r="B236" s="156"/>
      <c r="C236" s="156"/>
      <c r="D236" s="156"/>
      <c r="E236" s="156"/>
      <c r="F236" s="156"/>
      <c r="G236" s="156"/>
      <c r="H236" s="156"/>
      <c r="I236" s="189"/>
      <c r="J236" s="189"/>
      <c r="K236" s="156"/>
      <c r="L236" s="156"/>
      <c r="M236" s="156"/>
      <c r="N236" s="156"/>
      <c r="O236" s="156"/>
      <c r="P236" s="173"/>
      <c r="Q236" s="149"/>
      <c r="R236" s="149"/>
      <c r="T236" s="139"/>
    </row>
    <row r="237" spans="1:20" hidden="1">
      <c r="A237" s="40" t="s">
        <v>268</v>
      </c>
      <c r="B237" s="41" t="s">
        <v>269</v>
      </c>
      <c r="C237" s="42">
        <v>25</v>
      </c>
      <c r="D237" s="42" t="s">
        <v>191</v>
      </c>
      <c r="E237" s="65" t="s">
        <v>653</v>
      </c>
      <c r="F237" s="27">
        <f t="shared" ref="F237:F254" si="50">H237*E237</f>
        <v>18400</v>
      </c>
      <c r="G237" s="223">
        <v>5067</v>
      </c>
      <c r="H237" s="57">
        <v>4600</v>
      </c>
      <c r="I237" s="57"/>
      <c r="J237" s="57"/>
      <c r="K237" s="162">
        <f t="shared" ref="K237:K254" si="51">I237*S237</f>
        <v>0</v>
      </c>
      <c r="L237" s="162">
        <f t="shared" ref="L237:L254" si="52">J237*S237</f>
        <v>0</v>
      </c>
      <c r="M237" s="15"/>
      <c r="N237" s="64" t="s">
        <v>619</v>
      </c>
      <c r="O237" s="64"/>
      <c r="P237" s="97" t="s">
        <v>490</v>
      </c>
      <c r="Q237" s="146">
        <f t="shared" ref="Q237:Q254" si="53">F237*(1-$Q$10)</f>
        <v>18400</v>
      </c>
      <c r="R237" s="146">
        <f t="shared" ref="R237:R254" si="54">H237*(1-$Q$10)</f>
        <v>4600</v>
      </c>
      <c r="S237" s="134"/>
      <c r="T237" s="138">
        <f t="shared" ref="T237:T254" si="55">S237*Q237</f>
        <v>0</v>
      </c>
    </row>
    <row r="238" spans="1:20" ht="21">
      <c r="A238" s="40" t="s">
        <v>270</v>
      </c>
      <c r="B238" s="45" t="s">
        <v>721</v>
      </c>
      <c r="C238" s="46">
        <v>25</v>
      </c>
      <c r="D238" s="46" t="s">
        <v>191</v>
      </c>
      <c r="E238" s="66" t="s">
        <v>653</v>
      </c>
      <c r="F238" s="27">
        <f t="shared" si="50"/>
        <v>18400</v>
      </c>
      <c r="G238" s="63">
        <v>5067</v>
      </c>
      <c r="H238" s="57">
        <v>4600</v>
      </c>
      <c r="I238" s="167">
        <v>6.0999999999999999E-2</v>
      </c>
      <c r="J238" s="168">
        <v>13.5</v>
      </c>
      <c r="K238" s="162">
        <f t="shared" si="51"/>
        <v>0</v>
      </c>
      <c r="L238" s="162">
        <f t="shared" si="52"/>
        <v>0</v>
      </c>
      <c r="M238" s="15"/>
      <c r="N238" s="64" t="s">
        <v>619</v>
      </c>
      <c r="O238" s="126" t="s">
        <v>845</v>
      </c>
      <c r="P238" s="235" t="s">
        <v>864</v>
      </c>
      <c r="Q238" s="146">
        <f t="shared" si="53"/>
        <v>18400</v>
      </c>
      <c r="R238" s="146">
        <f t="shared" si="54"/>
        <v>4600</v>
      </c>
      <c r="S238" s="134"/>
      <c r="T238" s="138">
        <f t="shared" si="55"/>
        <v>0</v>
      </c>
    </row>
    <row r="239" spans="1:20" hidden="1">
      <c r="A239" s="44" t="s">
        <v>271</v>
      </c>
      <c r="B239" s="45" t="s">
        <v>272</v>
      </c>
      <c r="C239" s="46">
        <v>25</v>
      </c>
      <c r="D239" s="46" t="s">
        <v>191</v>
      </c>
      <c r="E239" s="66" t="s">
        <v>653</v>
      </c>
      <c r="F239" s="27">
        <f t="shared" si="50"/>
        <v>18400</v>
      </c>
      <c r="G239" s="223">
        <v>5067</v>
      </c>
      <c r="H239" s="57">
        <v>4600</v>
      </c>
      <c r="I239" s="57"/>
      <c r="J239" s="57"/>
      <c r="K239" s="162">
        <f t="shared" si="51"/>
        <v>0</v>
      </c>
      <c r="L239" s="162">
        <f t="shared" si="52"/>
        <v>0</v>
      </c>
      <c r="M239" s="15"/>
      <c r="N239" s="64" t="s">
        <v>619</v>
      </c>
      <c r="O239" s="64"/>
      <c r="P239" s="97" t="s">
        <v>490</v>
      </c>
      <c r="Q239" s="146">
        <f t="shared" si="53"/>
        <v>18400</v>
      </c>
      <c r="R239" s="146">
        <f t="shared" si="54"/>
        <v>4600</v>
      </c>
      <c r="S239" s="134"/>
      <c r="T239" s="138">
        <f t="shared" si="55"/>
        <v>0</v>
      </c>
    </row>
    <row r="240" spans="1:20" hidden="1">
      <c r="A240" s="44" t="s">
        <v>273</v>
      </c>
      <c r="B240" s="45" t="s">
        <v>722</v>
      </c>
      <c r="C240" s="46">
        <v>25</v>
      </c>
      <c r="D240" s="46" t="s">
        <v>191</v>
      </c>
      <c r="E240" s="66" t="s">
        <v>653</v>
      </c>
      <c r="F240" s="27">
        <f t="shared" si="50"/>
        <v>18400</v>
      </c>
      <c r="G240" s="223">
        <v>5067</v>
      </c>
      <c r="H240" s="57">
        <v>4600</v>
      </c>
      <c r="I240" s="57"/>
      <c r="J240" s="57"/>
      <c r="K240" s="162">
        <f t="shared" si="51"/>
        <v>0</v>
      </c>
      <c r="L240" s="162">
        <f t="shared" si="52"/>
        <v>0</v>
      </c>
      <c r="M240" s="15"/>
      <c r="N240" s="64" t="s">
        <v>619</v>
      </c>
      <c r="O240" s="64"/>
      <c r="P240" s="97" t="s">
        <v>490</v>
      </c>
      <c r="Q240" s="146">
        <f t="shared" si="53"/>
        <v>18400</v>
      </c>
      <c r="R240" s="146">
        <f t="shared" si="54"/>
        <v>4600</v>
      </c>
      <c r="S240" s="134"/>
      <c r="T240" s="138">
        <f t="shared" si="55"/>
        <v>0</v>
      </c>
    </row>
    <row r="241" spans="1:20" hidden="1">
      <c r="A241" s="44" t="s">
        <v>531</v>
      </c>
      <c r="B241" s="45" t="s">
        <v>532</v>
      </c>
      <c r="C241" s="46">
        <v>36</v>
      </c>
      <c r="D241" s="46" t="s">
        <v>191</v>
      </c>
      <c r="E241" s="66" t="s">
        <v>653</v>
      </c>
      <c r="F241" s="27">
        <f t="shared" si="50"/>
        <v>28800</v>
      </c>
      <c r="G241" s="68">
        <v>5400</v>
      </c>
      <c r="H241" s="57">
        <f t="shared" ref="H241:H252" si="56">G241/75*100</f>
        <v>7200</v>
      </c>
      <c r="I241" s="57"/>
      <c r="J241" s="57"/>
      <c r="K241" s="162">
        <f t="shared" si="51"/>
        <v>0</v>
      </c>
      <c r="L241" s="162">
        <f t="shared" si="52"/>
        <v>0</v>
      </c>
      <c r="M241" s="2"/>
      <c r="N241" s="64" t="s">
        <v>619</v>
      </c>
      <c r="O241" s="64"/>
      <c r="P241" s="97" t="s">
        <v>490</v>
      </c>
      <c r="Q241" s="146">
        <f t="shared" si="53"/>
        <v>28800</v>
      </c>
      <c r="R241" s="146">
        <f t="shared" si="54"/>
        <v>7200</v>
      </c>
      <c r="S241" s="134"/>
      <c r="T241" s="138">
        <f t="shared" si="55"/>
        <v>0</v>
      </c>
    </row>
    <row r="242" spans="1:20" hidden="1">
      <c r="A242" s="44" t="s">
        <v>533</v>
      </c>
      <c r="B242" s="45" t="s">
        <v>534</v>
      </c>
      <c r="C242" s="46">
        <v>36</v>
      </c>
      <c r="D242" s="46" t="s">
        <v>191</v>
      </c>
      <c r="E242" s="66" t="s">
        <v>657</v>
      </c>
      <c r="F242" s="27">
        <f t="shared" si="50"/>
        <v>13973.333333333332</v>
      </c>
      <c r="G242" s="68">
        <v>5240</v>
      </c>
      <c r="H242" s="57">
        <f t="shared" si="56"/>
        <v>6986.6666666666661</v>
      </c>
      <c r="I242" s="57"/>
      <c r="J242" s="57"/>
      <c r="K242" s="162">
        <f t="shared" si="51"/>
        <v>0</v>
      </c>
      <c r="L242" s="162">
        <f t="shared" si="52"/>
        <v>0</v>
      </c>
      <c r="M242" s="2"/>
      <c r="N242" s="64" t="s">
        <v>619</v>
      </c>
      <c r="O242" s="64"/>
      <c r="P242" s="97" t="s">
        <v>490</v>
      </c>
      <c r="Q242" s="146">
        <f t="shared" si="53"/>
        <v>13973.333333333332</v>
      </c>
      <c r="R242" s="146">
        <f t="shared" si="54"/>
        <v>6986.6666666666661</v>
      </c>
      <c r="S242" s="134"/>
      <c r="T242" s="138">
        <f t="shared" si="55"/>
        <v>0</v>
      </c>
    </row>
    <row r="243" spans="1:20" ht="21">
      <c r="A243" s="44" t="s">
        <v>786</v>
      </c>
      <c r="B243" s="45" t="s">
        <v>274</v>
      </c>
      <c r="C243" s="46">
        <v>49</v>
      </c>
      <c r="D243" s="46" t="s">
        <v>191</v>
      </c>
      <c r="E243" s="66" t="s">
        <v>657</v>
      </c>
      <c r="F243" s="27">
        <f t="shared" si="50"/>
        <v>17920</v>
      </c>
      <c r="G243" s="57">
        <v>6720</v>
      </c>
      <c r="H243" s="57">
        <f t="shared" si="56"/>
        <v>8960</v>
      </c>
      <c r="I243" s="25">
        <v>5.0999999999999997E-2</v>
      </c>
      <c r="J243" s="25">
        <v>12.5</v>
      </c>
      <c r="K243" s="162">
        <f t="shared" si="51"/>
        <v>0</v>
      </c>
      <c r="L243" s="162">
        <f t="shared" si="52"/>
        <v>0</v>
      </c>
      <c r="M243" s="15"/>
      <c r="N243" s="64" t="s">
        <v>619</v>
      </c>
      <c r="O243" s="126" t="s">
        <v>845</v>
      </c>
      <c r="P243" s="235" t="s">
        <v>864</v>
      </c>
      <c r="Q243" s="146">
        <f t="shared" si="53"/>
        <v>17920</v>
      </c>
      <c r="R243" s="146">
        <f t="shared" si="54"/>
        <v>8960</v>
      </c>
      <c r="S243" s="134"/>
      <c r="T243" s="138">
        <f t="shared" si="55"/>
        <v>0</v>
      </c>
    </row>
    <row r="244" spans="1:20" hidden="1">
      <c r="A244" s="40" t="s">
        <v>535</v>
      </c>
      <c r="B244" s="41" t="s">
        <v>536</v>
      </c>
      <c r="C244" s="42">
        <v>49</v>
      </c>
      <c r="D244" s="42" t="s">
        <v>191</v>
      </c>
      <c r="E244" s="65" t="s">
        <v>657</v>
      </c>
      <c r="F244" s="27">
        <f t="shared" si="50"/>
        <v>17920</v>
      </c>
      <c r="G244" s="57">
        <v>6720</v>
      </c>
      <c r="H244" s="57">
        <f t="shared" si="56"/>
        <v>8960</v>
      </c>
      <c r="I244" s="57"/>
      <c r="J244" s="57"/>
      <c r="K244" s="162">
        <f t="shared" si="51"/>
        <v>0</v>
      </c>
      <c r="L244" s="162">
        <f t="shared" si="52"/>
        <v>0</v>
      </c>
      <c r="M244" s="192"/>
      <c r="N244" s="64" t="s">
        <v>619</v>
      </c>
      <c r="O244" s="64"/>
      <c r="P244" s="97" t="s">
        <v>490</v>
      </c>
      <c r="Q244" s="146">
        <f t="shared" si="53"/>
        <v>17920</v>
      </c>
      <c r="R244" s="146">
        <f t="shared" si="54"/>
        <v>8960</v>
      </c>
      <c r="S244" s="134"/>
      <c r="T244" s="138">
        <f t="shared" si="55"/>
        <v>0</v>
      </c>
    </row>
    <row r="245" spans="1:20" hidden="1">
      <c r="A245" s="44" t="s">
        <v>537</v>
      </c>
      <c r="B245" s="45" t="s">
        <v>723</v>
      </c>
      <c r="C245" s="46">
        <v>49</v>
      </c>
      <c r="D245" s="46" t="s">
        <v>191</v>
      </c>
      <c r="E245" s="66" t="s">
        <v>657</v>
      </c>
      <c r="F245" s="27">
        <f t="shared" si="50"/>
        <v>14580</v>
      </c>
      <c r="G245" s="57">
        <v>6720</v>
      </c>
      <c r="H245" s="57">
        <v>7290</v>
      </c>
      <c r="I245" s="167">
        <v>5.8000000000000003E-2</v>
      </c>
      <c r="J245" s="168">
        <v>13.5</v>
      </c>
      <c r="K245" s="162">
        <f t="shared" si="51"/>
        <v>0</v>
      </c>
      <c r="L245" s="162">
        <f t="shared" si="52"/>
        <v>0</v>
      </c>
      <c r="M245" s="2"/>
      <c r="N245" s="64" t="s">
        <v>619</v>
      </c>
      <c r="O245" s="64"/>
      <c r="P245" s="97" t="s">
        <v>490</v>
      </c>
      <c r="Q245" s="146">
        <f t="shared" si="53"/>
        <v>14580</v>
      </c>
      <c r="R245" s="146">
        <f t="shared" si="54"/>
        <v>7290</v>
      </c>
      <c r="S245" s="134"/>
      <c r="T245" s="138">
        <f t="shared" si="55"/>
        <v>0</v>
      </c>
    </row>
    <row r="246" spans="1:20" hidden="1">
      <c r="A246" s="44" t="s">
        <v>275</v>
      </c>
      <c r="B246" s="45" t="s">
        <v>276</v>
      </c>
      <c r="C246" s="46">
        <v>49</v>
      </c>
      <c r="D246" s="46" t="s">
        <v>191</v>
      </c>
      <c r="E246" s="66" t="s">
        <v>657</v>
      </c>
      <c r="F246" s="27">
        <f t="shared" si="50"/>
        <v>17920</v>
      </c>
      <c r="G246" s="57">
        <v>6720</v>
      </c>
      <c r="H246" s="57">
        <f t="shared" si="56"/>
        <v>8960</v>
      </c>
      <c r="I246" s="57"/>
      <c r="J246" s="57"/>
      <c r="K246" s="162">
        <f t="shared" si="51"/>
        <v>0</v>
      </c>
      <c r="L246" s="162">
        <f t="shared" si="52"/>
        <v>0</v>
      </c>
      <c r="M246" s="15"/>
      <c r="N246" s="64" t="s">
        <v>619</v>
      </c>
      <c r="O246" s="64"/>
      <c r="P246" s="97" t="s">
        <v>490</v>
      </c>
      <c r="Q246" s="146">
        <f t="shared" si="53"/>
        <v>17920</v>
      </c>
      <c r="R246" s="146">
        <f t="shared" si="54"/>
        <v>8960</v>
      </c>
      <c r="S246" s="134"/>
      <c r="T246" s="138">
        <f t="shared" si="55"/>
        <v>0</v>
      </c>
    </row>
    <row r="247" spans="1:20" ht="21">
      <c r="A247" s="53" t="s">
        <v>659</v>
      </c>
      <c r="B247" s="67" t="s">
        <v>724</v>
      </c>
      <c r="C247" s="25">
        <v>100</v>
      </c>
      <c r="D247" s="25" t="s">
        <v>191</v>
      </c>
      <c r="E247" s="55">
        <v>1</v>
      </c>
      <c r="F247" s="27">
        <f t="shared" si="50"/>
        <v>20533.333333333336</v>
      </c>
      <c r="G247" s="57">
        <v>15400</v>
      </c>
      <c r="H247" s="57">
        <f t="shared" si="56"/>
        <v>20533.333333333336</v>
      </c>
      <c r="I247" s="25">
        <v>5.0999999999999997E-2</v>
      </c>
      <c r="J247" s="25">
        <v>14.3</v>
      </c>
      <c r="K247" s="162">
        <f t="shared" si="51"/>
        <v>0</v>
      </c>
      <c r="L247" s="162">
        <f t="shared" si="52"/>
        <v>0</v>
      </c>
      <c r="M247" s="15"/>
      <c r="N247" s="64" t="s">
        <v>619</v>
      </c>
      <c r="O247" s="126" t="s">
        <v>845</v>
      </c>
      <c r="P247" s="232" t="s">
        <v>863</v>
      </c>
      <c r="Q247" s="146">
        <f t="shared" si="53"/>
        <v>20533.333333333336</v>
      </c>
      <c r="R247" s="146">
        <f t="shared" si="54"/>
        <v>20533.333333333336</v>
      </c>
      <c r="S247" s="134"/>
      <c r="T247" s="138">
        <f t="shared" si="55"/>
        <v>0</v>
      </c>
    </row>
    <row r="248" spans="1:20" hidden="1">
      <c r="A248" s="44" t="s">
        <v>277</v>
      </c>
      <c r="B248" s="45" t="s">
        <v>278</v>
      </c>
      <c r="C248" s="46">
        <v>100</v>
      </c>
      <c r="D248" s="46" t="s">
        <v>191</v>
      </c>
      <c r="E248" s="66" t="s">
        <v>658</v>
      </c>
      <c r="F248" s="27">
        <f t="shared" si="50"/>
        <v>19866.666666666664</v>
      </c>
      <c r="G248" s="57">
        <v>14900</v>
      </c>
      <c r="H248" s="57">
        <f t="shared" si="56"/>
        <v>19866.666666666664</v>
      </c>
      <c r="I248" s="167">
        <v>0.05</v>
      </c>
      <c r="J248" s="168">
        <v>13.4</v>
      </c>
      <c r="K248" s="162">
        <f t="shared" si="51"/>
        <v>0</v>
      </c>
      <c r="L248" s="162">
        <f t="shared" si="52"/>
        <v>0</v>
      </c>
      <c r="M248" s="199" t="s">
        <v>279</v>
      </c>
      <c r="N248" s="64" t="s">
        <v>619</v>
      </c>
      <c r="O248" s="64"/>
      <c r="P248" s="97" t="s">
        <v>490</v>
      </c>
      <c r="Q248" s="146">
        <f t="shared" si="53"/>
        <v>19866.666666666664</v>
      </c>
      <c r="R248" s="146">
        <f t="shared" si="54"/>
        <v>19866.666666666664</v>
      </c>
      <c r="S248" s="134"/>
      <c r="T248" s="138">
        <f t="shared" si="55"/>
        <v>0</v>
      </c>
    </row>
    <row r="249" spans="1:20" hidden="1">
      <c r="A249" s="44" t="s">
        <v>280</v>
      </c>
      <c r="B249" s="45" t="s">
        <v>281</v>
      </c>
      <c r="C249" s="46">
        <v>100</v>
      </c>
      <c r="D249" s="46" t="s">
        <v>191</v>
      </c>
      <c r="E249" s="66" t="s">
        <v>658</v>
      </c>
      <c r="F249" s="27">
        <f t="shared" si="50"/>
        <v>19866.666666666664</v>
      </c>
      <c r="G249" s="68">
        <v>14900</v>
      </c>
      <c r="H249" s="57">
        <f t="shared" si="56"/>
        <v>19866.666666666664</v>
      </c>
      <c r="I249" s="57"/>
      <c r="J249" s="57"/>
      <c r="K249" s="162">
        <f t="shared" si="51"/>
        <v>0</v>
      </c>
      <c r="L249" s="162">
        <f t="shared" si="52"/>
        <v>0</v>
      </c>
      <c r="M249" s="199" t="s">
        <v>279</v>
      </c>
      <c r="N249" s="64" t="s">
        <v>619</v>
      </c>
      <c r="O249" s="64"/>
      <c r="P249" s="97" t="s">
        <v>490</v>
      </c>
      <c r="Q249" s="146">
        <f t="shared" si="53"/>
        <v>19866.666666666664</v>
      </c>
      <c r="R249" s="146">
        <f t="shared" si="54"/>
        <v>19866.666666666664</v>
      </c>
      <c r="S249" s="134"/>
      <c r="T249" s="138">
        <f t="shared" si="55"/>
        <v>0</v>
      </c>
    </row>
    <row r="250" spans="1:20" ht="21" hidden="1">
      <c r="A250" s="53" t="s">
        <v>660</v>
      </c>
      <c r="B250" s="67" t="s">
        <v>725</v>
      </c>
      <c r="C250" s="55">
        <v>123</v>
      </c>
      <c r="D250" s="55" t="s">
        <v>191</v>
      </c>
      <c r="E250" s="55">
        <v>1</v>
      </c>
      <c r="F250" s="27">
        <f t="shared" si="50"/>
        <v>22400</v>
      </c>
      <c r="G250" s="57">
        <v>16800</v>
      </c>
      <c r="H250" s="57">
        <f t="shared" si="56"/>
        <v>22400</v>
      </c>
      <c r="I250" s="25">
        <v>5.6000000000000001E-2</v>
      </c>
      <c r="J250" s="25">
        <v>15.3</v>
      </c>
      <c r="K250" s="162">
        <f t="shared" si="51"/>
        <v>0</v>
      </c>
      <c r="L250" s="162">
        <f t="shared" si="52"/>
        <v>0</v>
      </c>
      <c r="M250" s="199"/>
      <c r="N250" s="64" t="s">
        <v>619</v>
      </c>
      <c r="O250" s="126" t="s">
        <v>845</v>
      </c>
      <c r="P250" s="97" t="s">
        <v>490</v>
      </c>
      <c r="Q250" s="146">
        <f t="shared" si="53"/>
        <v>22400</v>
      </c>
      <c r="R250" s="146">
        <f t="shared" si="54"/>
        <v>22400</v>
      </c>
      <c r="S250" s="134"/>
      <c r="T250" s="138">
        <f t="shared" si="55"/>
        <v>0</v>
      </c>
    </row>
    <row r="251" spans="1:20" ht="26.25">
      <c r="A251" s="44" t="s">
        <v>282</v>
      </c>
      <c r="B251" s="45" t="s">
        <v>283</v>
      </c>
      <c r="C251" s="46">
        <v>150</v>
      </c>
      <c r="D251" s="46" t="s">
        <v>191</v>
      </c>
      <c r="E251" s="66" t="s">
        <v>658</v>
      </c>
      <c r="F251" s="27">
        <f t="shared" si="50"/>
        <v>25740</v>
      </c>
      <c r="G251" s="68">
        <v>25300</v>
      </c>
      <c r="H251" s="57">
        <v>25740</v>
      </c>
      <c r="I251" s="25">
        <v>7.8E-2</v>
      </c>
      <c r="J251" s="25">
        <v>19.5</v>
      </c>
      <c r="K251" s="162">
        <f t="shared" si="51"/>
        <v>0</v>
      </c>
      <c r="L251" s="162">
        <f t="shared" si="52"/>
        <v>0</v>
      </c>
      <c r="M251" s="14" t="s">
        <v>172</v>
      </c>
      <c r="N251" s="64" t="s">
        <v>619</v>
      </c>
      <c r="O251" s="64"/>
      <c r="P251" s="235" t="s">
        <v>864</v>
      </c>
      <c r="Q251" s="146">
        <f t="shared" si="53"/>
        <v>25740</v>
      </c>
      <c r="R251" s="146">
        <f t="shared" si="54"/>
        <v>25740</v>
      </c>
      <c r="S251" s="134"/>
      <c r="T251" s="138">
        <f t="shared" si="55"/>
        <v>0</v>
      </c>
    </row>
    <row r="252" spans="1:20" ht="26.25" hidden="1">
      <c r="A252" s="44" t="s">
        <v>538</v>
      </c>
      <c r="B252" s="45" t="s">
        <v>726</v>
      </c>
      <c r="C252" s="46">
        <v>250</v>
      </c>
      <c r="D252" s="46" t="s">
        <v>539</v>
      </c>
      <c r="E252" s="66" t="s">
        <v>658</v>
      </c>
      <c r="F252" s="27">
        <f t="shared" si="50"/>
        <v>43040</v>
      </c>
      <c r="G252" s="57">
        <v>32280</v>
      </c>
      <c r="H252" s="57">
        <f t="shared" si="56"/>
        <v>43040</v>
      </c>
      <c r="I252" s="57"/>
      <c r="J252" s="57"/>
      <c r="K252" s="162">
        <f t="shared" si="51"/>
        <v>0</v>
      </c>
      <c r="L252" s="162">
        <f t="shared" si="52"/>
        <v>0</v>
      </c>
      <c r="M252" s="194" t="s">
        <v>172</v>
      </c>
      <c r="N252" s="64" t="s">
        <v>619</v>
      </c>
      <c r="O252" s="64"/>
      <c r="P252" s="97" t="s">
        <v>490</v>
      </c>
      <c r="Q252" s="146">
        <f t="shared" si="53"/>
        <v>43040</v>
      </c>
      <c r="R252" s="146">
        <f t="shared" si="54"/>
        <v>43040</v>
      </c>
      <c r="S252" s="134"/>
      <c r="T252" s="138">
        <f t="shared" si="55"/>
        <v>0</v>
      </c>
    </row>
    <row r="253" spans="1:20" ht="26.25">
      <c r="A253" s="44" t="s">
        <v>284</v>
      </c>
      <c r="B253" s="110" t="s">
        <v>742</v>
      </c>
      <c r="C253" s="46">
        <v>258</v>
      </c>
      <c r="D253" s="46" t="s">
        <v>191</v>
      </c>
      <c r="E253" s="66" t="s">
        <v>658</v>
      </c>
      <c r="F253" s="27">
        <f t="shared" si="50"/>
        <v>44900</v>
      </c>
      <c r="G253" s="57">
        <v>39980</v>
      </c>
      <c r="H253" s="57">
        <v>44900</v>
      </c>
      <c r="I253" s="25">
        <v>0.104</v>
      </c>
      <c r="J253" s="25">
        <v>29.5</v>
      </c>
      <c r="K253" s="162">
        <f t="shared" si="51"/>
        <v>0</v>
      </c>
      <c r="L253" s="162">
        <f t="shared" si="52"/>
        <v>0</v>
      </c>
      <c r="M253" s="14" t="s">
        <v>172</v>
      </c>
      <c r="N253" s="64" t="s">
        <v>619</v>
      </c>
      <c r="O253" s="64"/>
      <c r="P253" s="232" t="s">
        <v>863</v>
      </c>
      <c r="Q253" s="146">
        <f t="shared" si="53"/>
        <v>44900</v>
      </c>
      <c r="R253" s="146">
        <f t="shared" si="54"/>
        <v>44900</v>
      </c>
      <c r="S253" s="134"/>
      <c r="T253" s="138">
        <f t="shared" si="55"/>
        <v>0</v>
      </c>
    </row>
    <row r="254" spans="1:20" ht="26.25">
      <c r="A254" s="44" t="s">
        <v>823</v>
      </c>
      <c r="B254" s="45" t="s">
        <v>285</v>
      </c>
      <c r="C254" s="46">
        <v>300</v>
      </c>
      <c r="D254" s="46" t="s">
        <v>191</v>
      </c>
      <c r="E254" s="66" t="s">
        <v>658</v>
      </c>
      <c r="F254" s="27">
        <f t="shared" si="50"/>
        <v>50590</v>
      </c>
      <c r="G254" s="57">
        <v>47640</v>
      </c>
      <c r="H254" s="57">
        <v>50590</v>
      </c>
      <c r="I254" s="25">
        <v>0.13600000000000001</v>
      </c>
      <c r="J254" s="25">
        <v>38</v>
      </c>
      <c r="K254" s="162">
        <f t="shared" si="51"/>
        <v>0</v>
      </c>
      <c r="L254" s="162">
        <f t="shared" si="52"/>
        <v>0</v>
      </c>
      <c r="M254" s="14" t="s">
        <v>172</v>
      </c>
      <c r="N254" s="64" t="s">
        <v>619</v>
      </c>
      <c r="O254" s="64"/>
      <c r="P254" s="235" t="s">
        <v>864</v>
      </c>
      <c r="Q254" s="146">
        <f t="shared" si="53"/>
        <v>50590</v>
      </c>
      <c r="R254" s="146">
        <f t="shared" si="54"/>
        <v>50590</v>
      </c>
      <c r="S254" s="134"/>
      <c r="T254" s="138">
        <f t="shared" si="55"/>
        <v>0</v>
      </c>
    </row>
    <row r="255" spans="1:20">
      <c r="A255" s="200" t="s">
        <v>286</v>
      </c>
      <c r="B255" s="159"/>
      <c r="C255" s="159"/>
      <c r="D255" s="159"/>
      <c r="E255" s="159"/>
      <c r="F255" s="159"/>
      <c r="G255" s="159"/>
      <c r="H255" s="159"/>
      <c r="I255" s="201"/>
      <c r="J255" s="201"/>
      <c r="K255" s="159"/>
      <c r="L255" s="159"/>
      <c r="M255" s="159"/>
      <c r="N255" s="159"/>
      <c r="O255" s="159"/>
      <c r="P255" s="174"/>
      <c r="Q255" s="149"/>
      <c r="R255" s="149"/>
      <c r="T255" s="139"/>
    </row>
    <row r="256" spans="1:20" hidden="1">
      <c r="A256" s="44" t="s">
        <v>287</v>
      </c>
      <c r="B256" s="44" t="s">
        <v>288</v>
      </c>
      <c r="C256" s="47">
        <v>25</v>
      </c>
      <c r="D256" s="47" t="s">
        <v>289</v>
      </c>
      <c r="E256" s="47" t="s">
        <v>657</v>
      </c>
      <c r="F256" s="27">
        <f>H256*E256</f>
        <v>24000</v>
      </c>
      <c r="G256" s="125">
        <v>9000</v>
      </c>
      <c r="H256" s="57">
        <f>G256/75*100</f>
        <v>12000</v>
      </c>
      <c r="I256" s="57"/>
      <c r="J256" s="57"/>
      <c r="K256" s="162">
        <f>I256*S256</f>
        <v>0</v>
      </c>
      <c r="L256" s="162">
        <f>J256*S256</f>
        <v>0</v>
      </c>
      <c r="M256" s="14"/>
      <c r="N256" s="202" t="s">
        <v>619</v>
      </c>
      <c r="O256" s="202"/>
      <c r="P256" s="97" t="s">
        <v>490</v>
      </c>
      <c r="Q256" s="146">
        <f>F256*(1-$Q$10)</f>
        <v>24000</v>
      </c>
      <c r="R256" s="146">
        <f>H256*(1-$Q$10)</f>
        <v>12000</v>
      </c>
      <c r="S256" s="134"/>
      <c r="T256" s="138">
        <f>S256*Q256</f>
        <v>0</v>
      </c>
    </row>
    <row r="257" spans="1:20">
      <c r="A257" s="44" t="s">
        <v>290</v>
      </c>
      <c r="B257" s="44" t="s">
        <v>291</v>
      </c>
      <c r="C257" s="47">
        <v>25</v>
      </c>
      <c r="D257" s="47" t="s">
        <v>191</v>
      </c>
      <c r="E257" s="47" t="s">
        <v>653</v>
      </c>
      <c r="F257" s="27">
        <f>H257*E257</f>
        <v>30720</v>
      </c>
      <c r="G257" s="69">
        <v>5760</v>
      </c>
      <c r="H257" s="57">
        <f>G257/75*100</f>
        <v>7680</v>
      </c>
      <c r="I257" s="57"/>
      <c r="J257" s="57"/>
      <c r="K257" s="162">
        <f>I257*S257</f>
        <v>0</v>
      </c>
      <c r="L257" s="162">
        <f>J257*S257</f>
        <v>0</v>
      </c>
      <c r="M257" s="15"/>
      <c r="N257" s="202" t="s">
        <v>619</v>
      </c>
      <c r="O257" s="202"/>
      <c r="P257" s="232" t="s">
        <v>863</v>
      </c>
      <c r="Q257" s="146">
        <f>F257*(1-$Q$10)</f>
        <v>30720</v>
      </c>
      <c r="R257" s="146">
        <f>H257*(1-$Q$10)</f>
        <v>7680</v>
      </c>
      <c r="S257" s="134"/>
      <c r="T257" s="138">
        <f>S257*Q257</f>
        <v>0</v>
      </c>
    </row>
    <row r="258" spans="1:20" hidden="1">
      <c r="A258" s="44" t="s">
        <v>292</v>
      </c>
      <c r="B258" s="44" t="s">
        <v>293</v>
      </c>
      <c r="C258" s="47">
        <v>90</v>
      </c>
      <c r="D258" s="47" t="s">
        <v>191</v>
      </c>
      <c r="E258" s="47" t="s">
        <v>658</v>
      </c>
      <c r="F258" s="27">
        <f>H258*E258</f>
        <v>27000</v>
      </c>
      <c r="G258" s="69">
        <v>24000</v>
      </c>
      <c r="H258" s="57">
        <v>27000</v>
      </c>
      <c r="I258" s="57"/>
      <c r="J258" s="57"/>
      <c r="K258" s="162">
        <f>I258*S258</f>
        <v>0</v>
      </c>
      <c r="L258" s="162">
        <f>J258*S258</f>
        <v>0</v>
      </c>
      <c r="M258" s="15"/>
      <c r="N258" s="202" t="s">
        <v>619</v>
      </c>
      <c r="O258" s="202"/>
      <c r="P258" s="97" t="s">
        <v>490</v>
      </c>
      <c r="Q258" s="146">
        <f>F258*(1-$Q$10)</f>
        <v>27000</v>
      </c>
      <c r="R258" s="146">
        <f>H258*(1-$Q$10)</f>
        <v>27000</v>
      </c>
      <c r="S258" s="134"/>
      <c r="T258" s="138">
        <f>S258*Q258</f>
        <v>0</v>
      </c>
    </row>
    <row r="259" spans="1:20" ht="15" customHeight="1">
      <c r="A259" s="44" t="s">
        <v>294</v>
      </c>
      <c r="B259" s="44" t="s">
        <v>295</v>
      </c>
      <c r="C259" s="47">
        <v>50</v>
      </c>
      <c r="D259" s="47" t="s">
        <v>191</v>
      </c>
      <c r="E259" s="47" t="s">
        <v>657</v>
      </c>
      <c r="F259" s="27">
        <f>H259*E259</f>
        <v>34666.666666666672</v>
      </c>
      <c r="G259" s="69">
        <v>13000</v>
      </c>
      <c r="H259" s="57">
        <f>G259/75*100</f>
        <v>17333.333333333336</v>
      </c>
      <c r="I259" s="167">
        <v>5.8000000000000003E-2</v>
      </c>
      <c r="J259" s="168">
        <v>13.9</v>
      </c>
      <c r="K259" s="162">
        <f>I259*S259</f>
        <v>0</v>
      </c>
      <c r="L259" s="162">
        <f>J259*S259</f>
        <v>0</v>
      </c>
      <c r="M259" s="15"/>
      <c r="N259" s="64" t="s">
        <v>619</v>
      </c>
      <c r="O259" s="64"/>
      <c r="P259" s="232" t="s">
        <v>863</v>
      </c>
      <c r="Q259" s="146">
        <f>F259*(1-$Q$10)</f>
        <v>34666.666666666672</v>
      </c>
      <c r="R259" s="146">
        <f>H259*(1-$Q$10)</f>
        <v>17333.333333333336</v>
      </c>
      <c r="S259" s="134"/>
      <c r="T259" s="138">
        <f>S259*Q259</f>
        <v>0</v>
      </c>
    </row>
    <row r="260" spans="1:20">
      <c r="A260" s="200" t="s">
        <v>296</v>
      </c>
      <c r="B260" s="159"/>
      <c r="C260" s="159"/>
      <c r="D260" s="159"/>
      <c r="E260" s="159"/>
      <c r="F260" s="159"/>
      <c r="G260" s="159"/>
      <c r="H260" s="159"/>
      <c r="I260" s="201"/>
      <c r="J260" s="201"/>
      <c r="K260" s="159"/>
      <c r="L260" s="159"/>
      <c r="M260" s="159"/>
      <c r="N260" s="159"/>
      <c r="O260" s="159"/>
      <c r="P260" s="174"/>
      <c r="Q260" s="149"/>
      <c r="R260" s="149"/>
      <c r="T260" s="139"/>
    </row>
    <row r="261" spans="1:20" hidden="1">
      <c r="A261" s="58" t="s">
        <v>827</v>
      </c>
      <c r="B261" s="58" t="s">
        <v>851</v>
      </c>
      <c r="C261" s="25">
        <v>49</v>
      </c>
      <c r="D261" s="25" t="s">
        <v>298</v>
      </c>
      <c r="E261" s="52" t="s">
        <v>657</v>
      </c>
      <c r="F261" s="27">
        <f t="shared" ref="F261:F271" si="57">H261*E261</f>
        <v>26000</v>
      </c>
      <c r="G261" s="57">
        <v>10900</v>
      </c>
      <c r="H261" s="57">
        <v>13000</v>
      </c>
      <c r="I261" s="167">
        <v>5.8000000000000003E-2</v>
      </c>
      <c r="J261" s="168">
        <v>21.6</v>
      </c>
      <c r="K261" s="162">
        <f t="shared" ref="K261:K273" si="58">I261*S261</f>
        <v>0</v>
      </c>
      <c r="L261" s="162">
        <f t="shared" ref="L261:L273" si="59">J261*S261</f>
        <v>0</v>
      </c>
      <c r="M261" s="203" t="s">
        <v>751</v>
      </c>
      <c r="N261" s="64" t="s">
        <v>619</v>
      </c>
      <c r="O261" s="64"/>
      <c r="P261" s="97" t="s">
        <v>490</v>
      </c>
      <c r="Q261" s="146">
        <f>F261*(1-$Q$10)</f>
        <v>26000</v>
      </c>
      <c r="R261" s="146">
        <f t="shared" ref="R261:R273" si="60">H261*(1-$Q$10)</f>
        <v>13000</v>
      </c>
      <c r="S261" s="134"/>
      <c r="T261" s="138">
        <f>S261*Q261</f>
        <v>0</v>
      </c>
    </row>
    <row r="262" spans="1:20" ht="26.25">
      <c r="A262" s="58" t="s">
        <v>297</v>
      </c>
      <c r="B262" s="54" t="s">
        <v>727</v>
      </c>
      <c r="C262" s="25">
        <v>100</v>
      </c>
      <c r="D262" s="25" t="s">
        <v>298</v>
      </c>
      <c r="E262" s="59" t="s">
        <v>658</v>
      </c>
      <c r="F262" s="27">
        <f t="shared" si="57"/>
        <v>29900</v>
      </c>
      <c r="G262" s="57">
        <v>23470</v>
      </c>
      <c r="H262" s="57">
        <v>29900</v>
      </c>
      <c r="I262" s="25">
        <v>5.5E-2</v>
      </c>
      <c r="J262" s="25">
        <v>20.100000000000001</v>
      </c>
      <c r="K262" s="162">
        <f t="shared" si="58"/>
        <v>0</v>
      </c>
      <c r="L262" s="162">
        <f t="shared" si="59"/>
        <v>0</v>
      </c>
      <c r="M262" s="14" t="s">
        <v>750</v>
      </c>
      <c r="N262" s="64" t="s">
        <v>619</v>
      </c>
      <c r="O262" s="64"/>
      <c r="P262" s="232" t="s">
        <v>865</v>
      </c>
      <c r="Q262" s="146">
        <f t="shared" ref="Q262:Q273" si="61">F262*(1-$Q$10)</f>
        <v>29900</v>
      </c>
      <c r="R262" s="146">
        <f t="shared" si="60"/>
        <v>29900</v>
      </c>
      <c r="S262" s="134"/>
      <c r="T262" s="138">
        <f t="shared" ref="T262:T273" si="62">S262*Q262</f>
        <v>0</v>
      </c>
    </row>
    <row r="263" spans="1:20">
      <c r="A263" s="58" t="s">
        <v>825</v>
      </c>
      <c r="B263" s="58" t="s">
        <v>852</v>
      </c>
      <c r="C263" s="25">
        <v>19</v>
      </c>
      <c r="D263" s="25" t="s">
        <v>289</v>
      </c>
      <c r="E263" s="52" t="s">
        <v>653</v>
      </c>
      <c r="F263" s="27">
        <f t="shared" si="57"/>
        <v>27200</v>
      </c>
      <c r="G263" s="57">
        <v>5400</v>
      </c>
      <c r="H263" s="57">
        <v>6800</v>
      </c>
      <c r="I263" s="167">
        <v>9.6000000000000002E-2</v>
      </c>
      <c r="J263" s="168">
        <v>25.7</v>
      </c>
      <c r="K263" s="162">
        <f t="shared" si="58"/>
        <v>0</v>
      </c>
      <c r="L263" s="162">
        <f t="shared" si="59"/>
        <v>0</v>
      </c>
      <c r="M263" s="203" t="s">
        <v>751</v>
      </c>
      <c r="N263" s="64" t="s">
        <v>619</v>
      </c>
      <c r="O263" s="64"/>
      <c r="P263" s="235" t="s">
        <v>864</v>
      </c>
      <c r="Q263" s="146">
        <f>F263*(1-$Q$10)</f>
        <v>27200</v>
      </c>
      <c r="R263" s="146">
        <f t="shared" si="60"/>
        <v>6800</v>
      </c>
      <c r="S263" s="134"/>
      <c r="T263" s="138">
        <f t="shared" si="62"/>
        <v>0</v>
      </c>
    </row>
    <row r="264" spans="1:20" hidden="1">
      <c r="A264" s="58" t="s">
        <v>826</v>
      </c>
      <c r="B264" s="58" t="s">
        <v>853</v>
      </c>
      <c r="C264" s="25">
        <v>49</v>
      </c>
      <c r="D264" s="25" t="s">
        <v>289</v>
      </c>
      <c r="E264" s="52" t="s">
        <v>658</v>
      </c>
      <c r="F264" s="27">
        <f t="shared" si="57"/>
        <v>16900</v>
      </c>
      <c r="G264" s="57">
        <v>13680</v>
      </c>
      <c r="H264" s="57">
        <v>16900</v>
      </c>
      <c r="I264" s="167">
        <v>4.7E-2</v>
      </c>
      <c r="J264" s="168">
        <v>16.2</v>
      </c>
      <c r="K264" s="162">
        <f t="shared" si="58"/>
        <v>0</v>
      </c>
      <c r="L264" s="162">
        <f t="shared" si="59"/>
        <v>0</v>
      </c>
      <c r="M264" s="203" t="s">
        <v>751</v>
      </c>
      <c r="N264" s="64" t="s">
        <v>619</v>
      </c>
      <c r="O264" s="64"/>
      <c r="P264" s="97" t="s">
        <v>490</v>
      </c>
      <c r="Q264" s="146">
        <f>F264*(1-$Q$10)</f>
        <v>16900</v>
      </c>
      <c r="R264" s="146">
        <f t="shared" si="60"/>
        <v>16900</v>
      </c>
      <c r="S264" s="134"/>
      <c r="T264" s="138">
        <f t="shared" si="62"/>
        <v>0</v>
      </c>
    </row>
    <row r="265" spans="1:20" ht="26.25">
      <c r="A265" s="53" t="s">
        <v>661</v>
      </c>
      <c r="B265" s="67" t="s">
        <v>728</v>
      </c>
      <c r="C265" s="144">
        <v>150</v>
      </c>
      <c r="D265" s="144" t="s">
        <v>298</v>
      </c>
      <c r="E265" s="144">
        <v>1</v>
      </c>
      <c r="F265" s="27">
        <f t="shared" si="57"/>
        <v>39900</v>
      </c>
      <c r="G265" s="57">
        <v>31100</v>
      </c>
      <c r="H265" s="57">
        <v>39900</v>
      </c>
      <c r="I265" s="25">
        <v>7.6999999999999999E-2</v>
      </c>
      <c r="J265" s="25">
        <v>29.6</v>
      </c>
      <c r="K265" s="162">
        <f t="shared" si="58"/>
        <v>0</v>
      </c>
      <c r="L265" s="162">
        <f t="shared" si="59"/>
        <v>0</v>
      </c>
      <c r="M265" s="14" t="s">
        <v>750</v>
      </c>
      <c r="N265" s="64" t="s">
        <v>619</v>
      </c>
      <c r="O265" s="64"/>
      <c r="P265" s="235" t="s">
        <v>864</v>
      </c>
      <c r="Q265" s="146">
        <f t="shared" si="61"/>
        <v>39900</v>
      </c>
      <c r="R265" s="146">
        <f t="shared" si="60"/>
        <v>39900</v>
      </c>
      <c r="S265" s="134"/>
      <c r="T265" s="138">
        <f t="shared" si="62"/>
        <v>0</v>
      </c>
    </row>
    <row r="266" spans="1:20">
      <c r="A266" s="58" t="s">
        <v>299</v>
      </c>
      <c r="B266" s="58" t="s">
        <v>868</v>
      </c>
      <c r="C266" s="52" t="s">
        <v>306</v>
      </c>
      <c r="D266" s="52" t="s">
        <v>301</v>
      </c>
      <c r="E266" s="52" t="s">
        <v>657</v>
      </c>
      <c r="F266" s="27">
        <f t="shared" si="57"/>
        <v>18740</v>
      </c>
      <c r="G266" s="57">
        <v>8250</v>
      </c>
      <c r="H266" s="57">
        <v>9370</v>
      </c>
      <c r="I266" s="167">
        <v>6.0999999999999999E-2</v>
      </c>
      <c r="J266" s="168">
        <v>18.8</v>
      </c>
      <c r="K266" s="162">
        <f t="shared" si="58"/>
        <v>0</v>
      </c>
      <c r="L266" s="162">
        <f t="shared" si="59"/>
        <v>0</v>
      </c>
      <c r="M266" s="203" t="s">
        <v>751</v>
      </c>
      <c r="N266" s="64" t="s">
        <v>619</v>
      </c>
      <c r="O266" s="64"/>
      <c r="P266" s="235" t="s">
        <v>864</v>
      </c>
      <c r="Q266" s="146">
        <f t="shared" si="61"/>
        <v>18740</v>
      </c>
      <c r="R266" s="146">
        <f t="shared" si="60"/>
        <v>9370</v>
      </c>
      <c r="S266" s="134"/>
      <c r="T266" s="138">
        <f t="shared" si="62"/>
        <v>0</v>
      </c>
    </row>
    <row r="267" spans="1:20">
      <c r="A267" s="58" t="s">
        <v>302</v>
      </c>
      <c r="B267" s="58" t="s">
        <v>854</v>
      </c>
      <c r="C267" s="52" t="s">
        <v>303</v>
      </c>
      <c r="D267" s="52" t="s">
        <v>301</v>
      </c>
      <c r="E267" s="52" t="s">
        <v>658</v>
      </c>
      <c r="F267" s="27">
        <f t="shared" si="57"/>
        <v>19900</v>
      </c>
      <c r="G267" s="57">
        <v>18700</v>
      </c>
      <c r="H267" s="57">
        <v>19900</v>
      </c>
      <c r="I267" s="167">
        <v>5.6000000000000001E-2</v>
      </c>
      <c r="J267" s="168">
        <v>17.899999999999999</v>
      </c>
      <c r="K267" s="162">
        <f t="shared" si="58"/>
        <v>0</v>
      </c>
      <c r="L267" s="162">
        <f t="shared" si="59"/>
        <v>0</v>
      </c>
      <c r="M267" s="203" t="s">
        <v>751</v>
      </c>
      <c r="N267" s="64" t="s">
        <v>619</v>
      </c>
      <c r="O267" s="64"/>
      <c r="P267" s="235" t="s">
        <v>864</v>
      </c>
      <c r="Q267" s="146">
        <f t="shared" si="61"/>
        <v>19900</v>
      </c>
      <c r="R267" s="146">
        <f t="shared" si="60"/>
        <v>19900</v>
      </c>
      <c r="S267" s="134"/>
      <c r="T267" s="138">
        <f t="shared" si="62"/>
        <v>0</v>
      </c>
    </row>
    <row r="268" spans="1:20" ht="26.25">
      <c r="A268" s="58" t="s">
        <v>824</v>
      </c>
      <c r="B268" s="58" t="s">
        <v>304</v>
      </c>
      <c r="C268" s="52" t="s">
        <v>305</v>
      </c>
      <c r="D268" s="52" t="s">
        <v>301</v>
      </c>
      <c r="E268" s="59" t="s">
        <v>658</v>
      </c>
      <c r="F268" s="27">
        <f t="shared" si="57"/>
        <v>37500</v>
      </c>
      <c r="G268" s="57">
        <v>39000</v>
      </c>
      <c r="H268" s="57">
        <v>37500</v>
      </c>
      <c r="I268" s="25">
        <v>0.13800000000000001</v>
      </c>
      <c r="J268" s="25">
        <v>38</v>
      </c>
      <c r="K268" s="162">
        <f t="shared" si="58"/>
        <v>0</v>
      </c>
      <c r="L268" s="162">
        <f t="shared" si="59"/>
        <v>0</v>
      </c>
      <c r="M268" s="14" t="s">
        <v>750</v>
      </c>
      <c r="N268" s="64" t="s">
        <v>619</v>
      </c>
      <c r="O268" s="64"/>
      <c r="P268" s="235" t="s">
        <v>864</v>
      </c>
      <c r="Q268" s="146">
        <f t="shared" si="61"/>
        <v>37500</v>
      </c>
      <c r="R268" s="146">
        <f t="shared" si="60"/>
        <v>37500</v>
      </c>
      <c r="S268" s="134"/>
      <c r="T268" s="138">
        <f t="shared" si="62"/>
        <v>0</v>
      </c>
    </row>
    <row r="269" spans="1:20" hidden="1">
      <c r="A269" s="60" t="s">
        <v>308</v>
      </c>
      <c r="B269" s="60" t="s">
        <v>309</v>
      </c>
      <c r="C269" s="38" t="s">
        <v>306</v>
      </c>
      <c r="D269" s="38" t="s">
        <v>310</v>
      </c>
      <c r="E269" s="62" t="s">
        <v>658</v>
      </c>
      <c r="F269" s="27">
        <f t="shared" si="57"/>
        <v>39408</v>
      </c>
      <c r="G269" s="63">
        <v>29556</v>
      </c>
      <c r="H269" s="57">
        <f>G269/75*100</f>
        <v>39408</v>
      </c>
      <c r="I269" s="57"/>
      <c r="J269" s="57"/>
      <c r="K269" s="162">
        <f t="shared" si="58"/>
        <v>0</v>
      </c>
      <c r="L269" s="162">
        <f t="shared" si="59"/>
        <v>0</v>
      </c>
      <c r="M269" s="192" t="s">
        <v>279</v>
      </c>
      <c r="N269" s="64" t="s">
        <v>619</v>
      </c>
      <c r="O269" s="64"/>
      <c r="P269" s="97" t="s">
        <v>490</v>
      </c>
      <c r="Q269" s="146">
        <f t="shared" si="61"/>
        <v>39408</v>
      </c>
      <c r="R269" s="146">
        <f t="shared" si="60"/>
        <v>39408</v>
      </c>
      <c r="S269" s="134"/>
      <c r="T269" s="138">
        <f t="shared" si="62"/>
        <v>0</v>
      </c>
    </row>
    <row r="270" spans="1:20">
      <c r="A270" s="58" t="s">
        <v>540</v>
      </c>
      <c r="B270" s="58" t="s">
        <v>541</v>
      </c>
      <c r="C270" s="52" t="s">
        <v>306</v>
      </c>
      <c r="D270" s="52" t="s">
        <v>310</v>
      </c>
      <c r="E270" s="59" t="s">
        <v>658</v>
      </c>
      <c r="F270" s="27">
        <f t="shared" si="57"/>
        <v>50400</v>
      </c>
      <c r="G270" s="57">
        <v>37800</v>
      </c>
      <c r="H270" s="57">
        <f>G270/75*100</f>
        <v>50400</v>
      </c>
      <c r="I270" s="167">
        <v>9.2999999999999999E-2</v>
      </c>
      <c r="J270" s="168">
        <v>16</v>
      </c>
      <c r="K270" s="162">
        <f t="shared" si="58"/>
        <v>0</v>
      </c>
      <c r="L270" s="162">
        <f t="shared" si="59"/>
        <v>0</v>
      </c>
      <c r="M270" s="199" t="s">
        <v>279</v>
      </c>
      <c r="N270" s="64" t="s">
        <v>619</v>
      </c>
      <c r="O270" s="64"/>
      <c r="P270" s="235" t="s">
        <v>864</v>
      </c>
      <c r="Q270" s="146">
        <f t="shared" si="61"/>
        <v>50400</v>
      </c>
      <c r="R270" s="146">
        <f t="shared" si="60"/>
        <v>50400</v>
      </c>
      <c r="S270" s="134"/>
      <c r="T270" s="138">
        <f t="shared" si="62"/>
        <v>0</v>
      </c>
    </row>
    <row r="271" spans="1:20" hidden="1">
      <c r="A271" s="58" t="s">
        <v>542</v>
      </c>
      <c r="B271" s="58" t="s">
        <v>543</v>
      </c>
      <c r="C271" s="52" t="s">
        <v>544</v>
      </c>
      <c r="D271" s="52" t="s">
        <v>314</v>
      </c>
      <c r="E271" s="52" t="s">
        <v>657</v>
      </c>
      <c r="F271" s="27">
        <f t="shared" si="57"/>
        <v>54079.999999999993</v>
      </c>
      <c r="G271" s="57">
        <v>20280</v>
      </c>
      <c r="H271" s="57">
        <f>G271/75*100</f>
        <v>27039.999999999996</v>
      </c>
      <c r="I271" s="57"/>
      <c r="J271" s="57"/>
      <c r="K271" s="162">
        <f t="shared" si="58"/>
        <v>0</v>
      </c>
      <c r="L271" s="162">
        <f t="shared" si="59"/>
        <v>0</v>
      </c>
      <c r="M271" s="199" t="s">
        <v>279</v>
      </c>
      <c r="N271" s="64" t="s">
        <v>619</v>
      </c>
      <c r="O271" s="64"/>
      <c r="P271" s="97" t="s">
        <v>490</v>
      </c>
      <c r="Q271" s="146">
        <f t="shared" si="61"/>
        <v>54079.999999999993</v>
      </c>
      <c r="R271" s="146">
        <f t="shared" si="60"/>
        <v>27039.999999999996</v>
      </c>
      <c r="S271" s="134"/>
      <c r="T271" s="138">
        <f t="shared" si="62"/>
        <v>0</v>
      </c>
    </row>
    <row r="272" spans="1:20">
      <c r="A272" s="58" t="s">
        <v>311</v>
      </c>
      <c r="B272" s="58" t="s">
        <v>312</v>
      </c>
      <c r="C272" s="52" t="s">
        <v>313</v>
      </c>
      <c r="D272" s="52" t="s">
        <v>314</v>
      </c>
      <c r="E272" s="52" t="s">
        <v>658</v>
      </c>
      <c r="F272" s="27">
        <v>57270</v>
      </c>
      <c r="G272" s="57">
        <v>47120</v>
      </c>
      <c r="H272" s="57">
        <v>57270</v>
      </c>
      <c r="I272" s="204">
        <v>0.108</v>
      </c>
      <c r="J272" s="204">
        <v>19.8</v>
      </c>
      <c r="K272" s="162">
        <f t="shared" si="58"/>
        <v>0</v>
      </c>
      <c r="L272" s="162">
        <f t="shared" si="59"/>
        <v>0</v>
      </c>
      <c r="M272" s="199" t="s">
        <v>279</v>
      </c>
      <c r="N272" s="64" t="s">
        <v>619</v>
      </c>
      <c r="O272" s="64"/>
      <c r="P272" s="235" t="s">
        <v>864</v>
      </c>
      <c r="Q272" s="146">
        <f t="shared" si="61"/>
        <v>57270</v>
      </c>
      <c r="R272" s="146">
        <f t="shared" si="60"/>
        <v>57270</v>
      </c>
      <c r="S272" s="134"/>
      <c r="T272" s="138">
        <f t="shared" si="62"/>
        <v>0</v>
      </c>
    </row>
    <row r="273" spans="1:20">
      <c r="A273" s="58" t="s">
        <v>315</v>
      </c>
      <c r="B273" s="58" t="s">
        <v>316</v>
      </c>
      <c r="C273" s="52" t="s">
        <v>313</v>
      </c>
      <c r="D273" s="52" t="s">
        <v>314</v>
      </c>
      <c r="E273" s="52" t="s">
        <v>658</v>
      </c>
      <c r="F273" s="27">
        <v>57270</v>
      </c>
      <c r="G273" s="57">
        <v>47120</v>
      </c>
      <c r="H273" s="57">
        <v>57270</v>
      </c>
      <c r="I273" s="204">
        <v>0.108</v>
      </c>
      <c r="J273" s="204">
        <v>19.5</v>
      </c>
      <c r="K273" s="162">
        <f t="shared" si="58"/>
        <v>0</v>
      </c>
      <c r="L273" s="162">
        <f t="shared" si="59"/>
        <v>0</v>
      </c>
      <c r="M273" s="199" t="s">
        <v>279</v>
      </c>
      <c r="N273" s="64" t="s">
        <v>619</v>
      </c>
      <c r="O273" s="64"/>
      <c r="P273" s="235" t="s">
        <v>864</v>
      </c>
      <c r="Q273" s="146">
        <f t="shared" si="61"/>
        <v>57270</v>
      </c>
      <c r="R273" s="146">
        <f t="shared" si="60"/>
        <v>57270</v>
      </c>
      <c r="S273" s="134"/>
      <c r="T273" s="138">
        <f t="shared" si="62"/>
        <v>0</v>
      </c>
    </row>
    <row r="274" spans="1:20">
      <c r="A274" s="122" t="s">
        <v>317</v>
      </c>
      <c r="B274" s="123"/>
      <c r="C274" s="123"/>
      <c r="D274" s="123"/>
      <c r="E274" s="123"/>
      <c r="F274" s="123"/>
      <c r="G274" s="123"/>
      <c r="H274" s="123"/>
      <c r="I274" s="169"/>
      <c r="J274" s="169"/>
      <c r="K274" s="123"/>
      <c r="L274" s="123"/>
      <c r="M274" s="123"/>
      <c r="N274" s="123"/>
      <c r="O274" s="123"/>
      <c r="P274" s="124"/>
      <c r="Q274" s="149"/>
      <c r="R274" s="149"/>
      <c r="T274" s="139"/>
    </row>
    <row r="275" spans="1:20">
      <c r="A275" s="58" t="s">
        <v>318</v>
      </c>
      <c r="B275" s="58" t="s">
        <v>319</v>
      </c>
      <c r="C275" s="52"/>
      <c r="D275" s="52" t="s">
        <v>320</v>
      </c>
      <c r="E275" s="52" t="s">
        <v>321</v>
      </c>
      <c r="F275" s="27">
        <v>29130</v>
      </c>
      <c r="G275" s="75">
        <v>5.7</v>
      </c>
      <c r="H275" s="57">
        <f>F275/25/12/12</f>
        <v>8.0916666666666668</v>
      </c>
      <c r="I275" s="57"/>
      <c r="J275" s="57"/>
      <c r="K275" s="162">
        <f t="shared" ref="K275:K283" si="63">I275*S275</f>
        <v>0</v>
      </c>
      <c r="L275" s="162">
        <f t="shared" ref="L275:L283" si="64">J275*S275</f>
        <v>0</v>
      </c>
      <c r="M275" s="11"/>
      <c r="N275" s="64" t="s">
        <v>619</v>
      </c>
      <c r="O275" s="64"/>
      <c r="P275" s="235" t="s">
        <v>864</v>
      </c>
      <c r="Q275" s="146">
        <f t="shared" ref="Q275:Q283" si="65">F275*(1-$Q$10)</f>
        <v>29130</v>
      </c>
      <c r="R275" s="146">
        <f t="shared" ref="R275:R283" si="66">H275*(1-$Q$10)</f>
        <v>8.0916666666666668</v>
      </c>
      <c r="S275" s="134"/>
      <c r="T275" s="138">
        <f t="shared" ref="T275:T283" si="67">S275*Q275</f>
        <v>0</v>
      </c>
    </row>
    <row r="276" spans="1:20" hidden="1">
      <c r="A276" s="60" t="s">
        <v>322</v>
      </c>
      <c r="B276" s="60" t="s">
        <v>323</v>
      </c>
      <c r="C276" s="38"/>
      <c r="D276" s="38" t="s">
        <v>126</v>
      </c>
      <c r="E276" s="38" t="s">
        <v>324</v>
      </c>
      <c r="F276" s="27">
        <f>H276*20*8*6</f>
        <v>58879.999999999993</v>
      </c>
      <c r="G276" s="205">
        <v>46</v>
      </c>
      <c r="H276" s="57">
        <f>G276/75*100</f>
        <v>61.333333333333329</v>
      </c>
      <c r="I276" s="57"/>
      <c r="J276" s="57"/>
      <c r="K276" s="162">
        <f t="shared" si="63"/>
        <v>0</v>
      </c>
      <c r="L276" s="162">
        <f t="shared" si="64"/>
        <v>0</v>
      </c>
      <c r="M276" s="11"/>
      <c r="N276" s="64" t="s">
        <v>619</v>
      </c>
      <c r="O276" s="64"/>
      <c r="P276" s="97" t="s">
        <v>490</v>
      </c>
      <c r="Q276" s="146">
        <f t="shared" si="65"/>
        <v>58879.999999999993</v>
      </c>
      <c r="R276" s="146">
        <f t="shared" si="66"/>
        <v>61.333333333333329</v>
      </c>
      <c r="S276" s="134"/>
      <c r="T276" s="138">
        <f t="shared" si="67"/>
        <v>0</v>
      </c>
    </row>
    <row r="277" spans="1:20" hidden="1">
      <c r="A277" s="58" t="s">
        <v>325</v>
      </c>
      <c r="B277" s="58" t="s">
        <v>326</v>
      </c>
      <c r="C277" s="52"/>
      <c r="D277" s="52" t="s">
        <v>327</v>
      </c>
      <c r="E277" s="52" t="s">
        <v>328</v>
      </c>
      <c r="F277" s="27">
        <f>H277*24*12</f>
        <v>30720</v>
      </c>
      <c r="G277" s="75">
        <v>80</v>
      </c>
      <c r="H277" s="57">
        <f>G277/75*100</f>
        <v>106.66666666666667</v>
      </c>
      <c r="I277" s="57"/>
      <c r="J277" s="57"/>
      <c r="K277" s="162">
        <f t="shared" si="63"/>
        <v>0</v>
      </c>
      <c r="L277" s="162">
        <f t="shared" si="64"/>
        <v>0</v>
      </c>
      <c r="M277" s="11"/>
      <c r="N277" s="64" t="s">
        <v>619</v>
      </c>
      <c r="O277" s="64"/>
      <c r="P277" s="97" t="s">
        <v>490</v>
      </c>
      <c r="Q277" s="146">
        <f t="shared" si="65"/>
        <v>30720</v>
      </c>
      <c r="R277" s="146">
        <f t="shared" si="66"/>
        <v>106.66666666666667</v>
      </c>
      <c r="S277" s="134"/>
      <c r="T277" s="138">
        <f t="shared" si="67"/>
        <v>0</v>
      </c>
    </row>
    <row r="278" spans="1:20" hidden="1">
      <c r="A278" s="58" t="s">
        <v>329</v>
      </c>
      <c r="B278" s="58" t="s">
        <v>330</v>
      </c>
      <c r="C278" s="52"/>
      <c r="D278" s="52" t="s">
        <v>331</v>
      </c>
      <c r="E278" s="52" t="s">
        <v>328</v>
      </c>
      <c r="F278" s="27">
        <f>H278*24*12</f>
        <v>27360</v>
      </c>
      <c r="G278" s="206">
        <v>97</v>
      </c>
      <c r="H278" s="57">
        <v>95</v>
      </c>
      <c r="I278" s="25">
        <v>5.8000000000000003E-2</v>
      </c>
      <c r="J278" s="25">
        <v>12</v>
      </c>
      <c r="K278" s="162">
        <f t="shared" si="63"/>
        <v>0</v>
      </c>
      <c r="L278" s="162">
        <f t="shared" si="64"/>
        <v>0</v>
      </c>
      <c r="M278" s="11"/>
      <c r="N278" s="64" t="s">
        <v>619</v>
      </c>
      <c r="O278" s="64"/>
      <c r="P278" s="97" t="s">
        <v>490</v>
      </c>
      <c r="Q278" s="146">
        <f t="shared" si="65"/>
        <v>27360</v>
      </c>
      <c r="R278" s="146">
        <f t="shared" si="66"/>
        <v>95</v>
      </c>
      <c r="S278" s="134"/>
      <c r="T278" s="138">
        <f t="shared" si="67"/>
        <v>0</v>
      </c>
    </row>
    <row r="279" spans="1:20">
      <c r="A279" s="58" t="s">
        <v>332</v>
      </c>
      <c r="B279" s="58" t="s">
        <v>333</v>
      </c>
      <c r="C279" s="52"/>
      <c r="D279" s="52" t="s">
        <v>191</v>
      </c>
      <c r="E279" s="52" t="s">
        <v>334</v>
      </c>
      <c r="F279" s="27">
        <f>H279*20*6</f>
        <v>30240</v>
      </c>
      <c r="G279" s="75">
        <v>189</v>
      </c>
      <c r="H279" s="57">
        <f>G279/75*100</f>
        <v>252</v>
      </c>
      <c r="I279" s="57"/>
      <c r="J279" s="57"/>
      <c r="K279" s="162">
        <f t="shared" si="63"/>
        <v>0</v>
      </c>
      <c r="L279" s="162">
        <f t="shared" si="64"/>
        <v>0</v>
      </c>
      <c r="M279" s="11"/>
      <c r="N279" s="64" t="s">
        <v>619</v>
      </c>
      <c r="O279" s="64"/>
      <c r="P279" s="235" t="s">
        <v>864</v>
      </c>
      <c r="Q279" s="146">
        <f t="shared" si="65"/>
        <v>30240</v>
      </c>
      <c r="R279" s="146">
        <f t="shared" si="66"/>
        <v>252</v>
      </c>
      <c r="S279" s="134"/>
      <c r="T279" s="138">
        <f t="shared" si="67"/>
        <v>0</v>
      </c>
    </row>
    <row r="280" spans="1:20" hidden="1">
      <c r="A280" s="58" t="s">
        <v>335</v>
      </c>
      <c r="B280" s="58" t="s">
        <v>336</v>
      </c>
      <c r="C280" s="52"/>
      <c r="D280" s="52" t="s">
        <v>337</v>
      </c>
      <c r="E280" s="52" t="s">
        <v>338</v>
      </c>
      <c r="F280" s="27">
        <f>H280*14*4</f>
        <v>29493.333333333332</v>
      </c>
      <c r="G280" s="75">
        <v>395</v>
      </c>
      <c r="H280" s="57">
        <f>G280/75*100</f>
        <v>526.66666666666663</v>
      </c>
      <c r="I280" s="57"/>
      <c r="J280" s="57"/>
      <c r="K280" s="162">
        <f t="shared" si="63"/>
        <v>0</v>
      </c>
      <c r="L280" s="162">
        <f t="shared" si="64"/>
        <v>0</v>
      </c>
      <c r="M280" s="11"/>
      <c r="N280" s="64" t="s">
        <v>619</v>
      </c>
      <c r="O280" s="64"/>
      <c r="P280" s="97" t="s">
        <v>490</v>
      </c>
      <c r="Q280" s="146">
        <f t="shared" si="65"/>
        <v>29493.333333333332</v>
      </c>
      <c r="R280" s="146">
        <f t="shared" si="66"/>
        <v>526.66666666666663</v>
      </c>
      <c r="S280" s="134"/>
      <c r="T280" s="138">
        <f t="shared" si="67"/>
        <v>0</v>
      </c>
    </row>
    <row r="281" spans="1:20" ht="26.25">
      <c r="A281" s="58" t="s">
        <v>339</v>
      </c>
      <c r="B281" s="58" t="s">
        <v>340</v>
      </c>
      <c r="C281" s="52"/>
      <c r="D281" s="52" t="s">
        <v>307</v>
      </c>
      <c r="E281" s="52" t="s">
        <v>341</v>
      </c>
      <c r="F281" s="27">
        <f>H281*12</f>
        <v>56160</v>
      </c>
      <c r="G281" s="75">
        <v>1170</v>
      </c>
      <c r="H281" s="57">
        <f>1560*3</f>
        <v>4680</v>
      </c>
      <c r="I281" s="167">
        <v>0.124</v>
      </c>
      <c r="J281" s="168">
        <v>15.8</v>
      </c>
      <c r="K281" s="162">
        <f t="shared" si="63"/>
        <v>0</v>
      </c>
      <c r="L281" s="162">
        <f t="shared" si="64"/>
        <v>0</v>
      </c>
      <c r="M281" s="11" t="s">
        <v>860</v>
      </c>
      <c r="N281" s="64" t="s">
        <v>619</v>
      </c>
      <c r="O281" s="64"/>
      <c r="P281" s="232" t="s">
        <v>863</v>
      </c>
      <c r="Q281" s="146">
        <f t="shared" si="65"/>
        <v>56160</v>
      </c>
      <c r="R281" s="146">
        <f t="shared" si="66"/>
        <v>4680</v>
      </c>
      <c r="S281" s="134"/>
      <c r="T281" s="138">
        <f t="shared" si="67"/>
        <v>0</v>
      </c>
    </row>
    <row r="282" spans="1:20" ht="51.75">
      <c r="A282" s="58" t="s">
        <v>828</v>
      </c>
      <c r="B282" s="58" t="s">
        <v>855</v>
      </c>
      <c r="C282" s="52"/>
      <c r="D282" s="52" t="s">
        <v>831</v>
      </c>
      <c r="E282" s="52" t="s">
        <v>829</v>
      </c>
      <c r="F282" s="27">
        <f>H282*14</f>
        <v>26852</v>
      </c>
      <c r="G282" s="75">
        <v>1440</v>
      </c>
      <c r="H282" s="57">
        <f>274*7</f>
        <v>1918</v>
      </c>
      <c r="I282" s="25">
        <v>6.7000000000000004E-2</v>
      </c>
      <c r="J282" s="25">
        <v>8.1999999999999993</v>
      </c>
      <c r="K282" s="162">
        <f t="shared" si="63"/>
        <v>0</v>
      </c>
      <c r="L282" s="162">
        <f t="shared" si="64"/>
        <v>0</v>
      </c>
      <c r="M282" s="11" t="s">
        <v>861</v>
      </c>
      <c r="N282" s="145" t="s">
        <v>619</v>
      </c>
      <c r="O282" s="64"/>
      <c r="P282" s="232" t="s">
        <v>865</v>
      </c>
      <c r="Q282" s="146">
        <f t="shared" si="65"/>
        <v>26852</v>
      </c>
      <c r="R282" s="146">
        <f t="shared" si="66"/>
        <v>1918</v>
      </c>
      <c r="S282" s="134"/>
      <c r="T282" s="138">
        <f t="shared" si="67"/>
        <v>0</v>
      </c>
    </row>
    <row r="283" spans="1:20" ht="51.75">
      <c r="A283" s="58" t="s">
        <v>322</v>
      </c>
      <c r="B283" s="58" t="s">
        <v>856</v>
      </c>
      <c r="C283" s="52"/>
      <c r="D283" s="52" t="s">
        <v>832</v>
      </c>
      <c r="E283" s="52" t="s">
        <v>830</v>
      </c>
      <c r="F283" s="27">
        <f>H283*14</f>
        <v>36918</v>
      </c>
      <c r="G283" s="75">
        <v>1980</v>
      </c>
      <c r="H283" s="57">
        <f>293*9</f>
        <v>2637</v>
      </c>
      <c r="I283" s="25">
        <v>6.3E-2</v>
      </c>
      <c r="J283" s="25">
        <v>11</v>
      </c>
      <c r="K283" s="162">
        <f t="shared" si="63"/>
        <v>0</v>
      </c>
      <c r="L283" s="162">
        <f t="shared" si="64"/>
        <v>0</v>
      </c>
      <c r="M283" s="11" t="s">
        <v>862</v>
      </c>
      <c r="N283" s="145" t="s">
        <v>619</v>
      </c>
      <c r="O283" s="64"/>
      <c r="P283" s="232" t="s">
        <v>865</v>
      </c>
      <c r="Q283" s="146">
        <f t="shared" si="65"/>
        <v>36918</v>
      </c>
      <c r="R283" s="146">
        <f t="shared" si="66"/>
        <v>2637</v>
      </c>
      <c r="S283" s="134"/>
      <c r="T283" s="138">
        <f t="shared" si="67"/>
        <v>0</v>
      </c>
    </row>
    <row r="284" spans="1:20">
      <c r="A284" s="188" t="s">
        <v>342</v>
      </c>
      <c r="B284" s="151"/>
      <c r="C284" s="151"/>
      <c r="D284" s="151"/>
      <c r="E284" s="151"/>
      <c r="F284" s="151"/>
      <c r="G284" s="151"/>
      <c r="H284" s="151"/>
      <c r="I284" s="207"/>
      <c r="J284" s="207"/>
      <c r="K284" s="151"/>
      <c r="L284" s="151"/>
      <c r="M284" s="151"/>
      <c r="N284" s="151"/>
      <c r="O284" s="151"/>
      <c r="P284" s="175"/>
      <c r="Q284" s="149"/>
      <c r="R284" s="149"/>
      <c r="T284" s="139"/>
    </row>
    <row r="285" spans="1:20" hidden="1">
      <c r="A285" s="71" t="s">
        <v>343</v>
      </c>
      <c r="B285" s="61" t="s">
        <v>344</v>
      </c>
      <c r="C285" s="24"/>
      <c r="D285" s="24"/>
      <c r="E285" s="38" t="s">
        <v>545</v>
      </c>
      <c r="F285" s="27">
        <f>H285*15*12*20</f>
        <v>33120</v>
      </c>
      <c r="G285" s="205">
        <v>6.9</v>
      </c>
      <c r="H285" s="57">
        <f t="shared" ref="H285:H292" si="68">G285/75*100</f>
        <v>9.1999999999999993</v>
      </c>
      <c r="I285" s="57"/>
      <c r="J285" s="57"/>
      <c r="K285" s="162">
        <f t="shared" ref="K285:K292" si="69">I285*S285</f>
        <v>0</v>
      </c>
      <c r="L285" s="162">
        <f t="shared" ref="L285:L292" si="70">J285*S285</f>
        <v>0</v>
      </c>
      <c r="M285" s="208"/>
      <c r="N285" s="64" t="s">
        <v>619</v>
      </c>
      <c r="O285" s="64"/>
      <c r="P285" s="97" t="s">
        <v>490</v>
      </c>
      <c r="Q285" s="146">
        <f t="shared" ref="Q285:Q292" si="71">F285*(1-$Q$10)</f>
        <v>33120</v>
      </c>
      <c r="R285" s="146">
        <f t="shared" ref="R285:R292" si="72">H285*(1-$Q$10)</f>
        <v>9.1999999999999993</v>
      </c>
      <c r="S285" s="134"/>
      <c r="T285" s="138">
        <f t="shared" ref="T285:T292" si="73">S285*Q285</f>
        <v>0</v>
      </c>
    </row>
    <row r="286" spans="1:20" ht="25.5" hidden="1">
      <c r="A286" s="71" t="s">
        <v>345</v>
      </c>
      <c r="B286" s="61" t="s">
        <v>346</v>
      </c>
      <c r="C286" s="24"/>
      <c r="D286" s="24"/>
      <c r="E286" s="38" t="s">
        <v>112</v>
      </c>
      <c r="F286" s="27">
        <f>H286*2000</f>
        <v>33066.666666666664</v>
      </c>
      <c r="G286" s="77">
        <v>12.4</v>
      </c>
      <c r="H286" s="57">
        <f t="shared" si="68"/>
        <v>16.533333333333331</v>
      </c>
      <c r="I286" s="57"/>
      <c r="J286" s="57"/>
      <c r="K286" s="162">
        <f t="shared" si="69"/>
        <v>0</v>
      </c>
      <c r="L286" s="162">
        <f t="shared" si="70"/>
        <v>0</v>
      </c>
      <c r="M286" s="88"/>
      <c r="N286" s="29" t="s">
        <v>619</v>
      </c>
      <c r="O286" s="29"/>
      <c r="P286" s="97" t="s">
        <v>490</v>
      </c>
      <c r="Q286" s="146">
        <f t="shared" si="71"/>
        <v>33066.666666666664</v>
      </c>
      <c r="R286" s="146">
        <f t="shared" si="72"/>
        <v>16.533333333333331</v>
      </c>
      <c r="S286" s="134"/>
      <c r="T286" s="138">
        <f t="shared" si="73"/>
        <v>0</v>
      </c>
    </row>
    <row r="287" spans="1:20" ht="25.5">
      <c r="A287" s="70" t="s">
        <v>347</v>
      </c>
      <c r="B287" s="54" t="s">
        <v>748</v>
      </c>
      <c r="C287" s="24"/>
      <c r="D287" s="24"/>
      <c r="E287" s="52" t="s">
        <v>112</v>
      </c>
      <c r="F287" s="27">
        <f>H287*2000</f>
        <v>42133.333333333336</v>
      </c>
      <c r="G287" s="206">
        <v>15.8</v>
      </c>
      <c r="H287" s="57">
        <f t="shared" si="68"/>
        <v>21.066666666666666</v>
      </c>
      <c r="I287" s="167">
        <v>3.5999999999999997E-2</v>
      </c>
      <c r="J287" s="168">
        <v>17.5</v>
      </c>
      <c r="K287" s="162">
        <f t="shared" si="69"/>
        <v>0</v>
      </c>
      <c r="L287" s="162">
        <f t="shared" si="70"/>
        <v>0</v>
      </c>
      <c r="M287" s="11"/>
      <c r="N287" s="64" t="s">
        <v>619</v>
      </c>
      <c r="O287" s="64"/>
      <c r="P287" s="235" t="s">
        <v>864</v>
      </c>
      <c r="Q287" s="146">
        <f t="shared" si="71"/>
        <v>42133.333333333336</v>
      </c>
      <c r="R287" s="146">
        <f t="shared" si="72"/>
        <v>21.066666666666666</v>
      </c>
      <c r="S287" s="134"/>
      <c r="T287" s="138">
        <f t="shared" si="73"/>
        <v>0</v>
      </c>
    </row>
    <row r="288" spans="1:20" hidden="1">
      <c r="A288" s="73" t="s">
        <v>348</v>
      </c>
      <c r="B288" s="87" t="s">
        <v>349</v>
      </c>
      <c r="C288" s="88"/>
      <c r="D288" s="88"/>
      <c r="E288" s="89" t="s">
        <v>350</v>
      </c>
      <c r="F288" s="27">
        <f>H288*32*16*6</f>
        <v>36864</v>
      </c>
      <c r="G288" s="209">
        <v>13</v>
      </c>
      <c r="H288" s="57">
        <v>12</v>
      </c>
      <c r="I288" s="25">
        <v>4.4999999999999998E-2</v>
      </c>
      <c r="J288" s="25">
        <v>10</v>
      </c>
      <c r="K288" s="162">
        <f t="shared" si="69"/>
        <v>0</v>
      </c>
      <c r="L288" s="162">
        <f t="shared" si="70"/>
        <v>0</v>
      </c>
      <c r="M288" s="88"/>
      <c r="N288" s="29" t="s">
        <v>619</v>
      </c>
      <c r="O288" s="29"/>
      <c r="P288" s="97" t="s">
        <v>490</v>
      </c>
      <c r="Q288" s="146">
        <f t="shared" si="71"/>
        <v>36864</v>
      </c>
      <c r="R288" s="146">
        <f t="shared" si="72"/>
        <v>12</v>
      </c>
      <c r="S288" s="134"/>
      <c r="T288" s="138">
        <f t="shared" si="73"/>
        <v>0</v>
      </c>
    </row>
    <row r="289" spans="1:20" ht="21" hidden="1">
      <c r="A289" s="70" t="s">
        <v>752</v>
      </c>
      <c r="B289" s="54" t="s">
        <v>351</v>
      </c>
      <c r="C289" s="25"/>
      <c r="D289" s="25"/>
      <c r="E289" s="52" t="s">
        <v>352</v>
      </c>
      <c r="F289" s="27">
        <f>H289*300*12</f>
        <v>37920</v>
      </c>
      <c r="G289" s="75">
        <v>7.9</v>
      </c>
      <c r="H289" s="57">
        <f t="shared" si="68"/>
        <v>10.533333333333333</v>
      </c>
      <c r="I289" s="25">
        <v>3.7999999999999999E-2</v>
      </c>
      <c r="J289" s="168">
        <v>7.1</v>
      </c>
      <c r="K289" s="162">
        <f t="shared" si="69"/>
        <v>0</v>
      </c>
      <c r="L289" s="162">
        <f t="shared" si="70"/>
        <v>0</v>
      </c>
      <c r="M289" s="88"/>
      <c r="N289" s="29" t="s">
        <v>619</v>
      </c>
      <c r="O289" s="126" t="s">
        <v>845</v>
      </c>
      <c r="P289" s="97" t="s">
        <v>490</v>
      </c>
      <c r="Q289" s="146">
        <f t="shared" si="71"/>
        <v>37920</v>
      </c>
      <c r="R289" s="146">
        <f t="shared" si="72"/>
        <v>10.533333333333333</v>
      </c>
      <c r="S289" s="134"/>
      <c r="T289" s="138">
        <f t="shared" si="73"/>
        <v>0</v>
      </c>
    </row>
    <row r="290" spans="1:20" hidden="1">
      <c r="A290" s="70" t="s">
        <v>753</v>
      </c>
      <c r="B290" s="54" t="s">
        <v>353</v>
      </c>
      <c r="C290" s="25"/>
      <c r="D290" s="25"/>
      <c r="E290" s="52" t="s">
        <v>354</v>
      </c>
      <c r="F290" s="27">
        <f>H290*72*6</f>
        <v>19872</v>
      </c>
      <c r="G290" s="75">
        <v>34.5</v>
      </c>
      <c r="H290" s="57">
        <f t="shared" si="68"/>
        <v>46</v>
      </c>
      <c r="I290" s="57"/>
      <c r="J290" s="57"/>
      <c r="K290" s="162">
        <f t="shared" si="69"/>
        <v>0</v>
      </c>
      <c r="L290" s="162">
        <f t="shared" si="70"/>
        <v>0</v>
      </c>
      <c r="M290" s="88"/>
      <c r="N290" s="29" t="s">
        <v>619</v>
      </c>
      <c r="O290" s="29"/>
      <c r="P290" s="97" t="s">
        <v>490</v>
      </c>
      <c r="Q290" s="146">
        <f t="shared" si="71"/>
        <v>19872</v>
      </c>
      <c r="R290" s="146">
        <f t="shared" si="72"/>
        <v>46</v>
      </c>
      <c r="S290" s="134"/>
      <c r="T290" s="138">
        <f t="shared" si="73"/>
        <v>0</v>
      </c>
    </row>
    <row r="291" spans="1:20" ht="21">
      <c r="A291" s="70" t="s">
        <v>754</v>
      </c>
      <c r="B291" s="54" t="s">
        <v>355</v>
      </c>
      <c r="C291" s="25"/>
      <c r="D291" s="25"/>
      <c r="E291" s="52" t="s">
        <v>356</v>
      </c>
      <c r="F291" s="27">
        <f>H291*72*3</f>
        <v>28224</v>
      </c>
      <c r="G291" s="75">
        <v>98</v>
      </c>
      <c r="H291" s="57">
        <f t="shared" si="68"/>
        <v>130.66666666666666</v>
      </c>
      <c r="I291" s="25">
        <v>6.7000000000000004E-2</v>
      </c>
      <c r="J291" s="168">
        <v>7.7</v>
      </c>
      <c r="K291" s="162">
        <f t="shared" si="69"/>
        <v>0</v>
      </c>
      <c r="L291" s="162">
        <f t="shared" si="70"/>
        <v>0</v>
      </c>
      <c r="M291" s="88"/>
      <c r="N291" s="29" t="s">
        <v>619</v>
      </c>
      <c r="O291" s="126" t="s">
        <v>845</v>
      </c>
      <c r="P291" s="235" t="s">
        <v>864</v>
      </c>
      <c r="Q291" s="146">
        <f t="shared" si="71"/>
        <v>28224</v>
      </c>
      <c r="R291" s="146">
        <f t="shared" si="72"/>
        <v>130.66666666666666</v>
      </c>
      <c r="S291" s="134"/>
      <c r="T291" s="138">
        <f t="shared" si="73"/>
        <v>0</v>
      </c>
    </row>
    <row r="292" spans="1:20" hidden="1">
      <c r="A292" s="70" t="s">
        <v>755</v>
      </c>
      <c r="B292" s="54" t="s">
        <v>357</v>
      </c>
      <c r="C292" s="25"/>
      <c r="D292" s="25"/>
      <c r="E292" s="52" t="s">
        <v>358</v>
      </c>
      <c r="F292" s="27">
        <f>H292*60*6</f>
        <v>19200</v>
      </c>
      <c r="G292" s="75">
        <v>40</v>
      </c>
      <c r="H292" s="57">
        <f t="shared" si="68"/>
        <v>53.333333333333336</v>
      </c>
      <c r="I292" s="57"/>
      <c r="J292" s="57"/>
      <c r="K292" s="162">
        <f t="shared" si="69"/>
        <v>0</v>
      </c>
      <c r="L292" s="162">
        <f t="shared" si="70"/>
        <v>0</v>
      </c>
      <c r="M292" s="88"/>
      <c r="N292" s="29" t="s">
        <v>619</v>
      </c>
      <c r="O292" s="29"/>
      <c r="P292" s="97" t="s">
        <v>490</v>
      </c>
      <c r="Q292" s="146">
        <f t="shared" si="71"/>
        <v>19200</v>
      </c>
      <c r="R292" s="146">
        <f t="shared" si="72"/>
        <v>53.333333333333336</v>
      </c>
      <c r="S292" s="134"/>
      <c r="T292" s="138">
        <f t="shared" si="73"/>
        <v>0</v>
      </c>
    </row>
    <row r="293" spans="1:20">
      <c r="A293" s="210" t="s">
        <v>359</v>
      </c>
      <c r="B293" s="160"/>
      <c r="C293" s="160"/>
      <c r="D293" s="160"/>
      <c r="E293" s="160"/>
      <c r="F293" s="160"/>
      <c r="G293" s="160"/>
      <c r="H293" s="160"/>
      <c r="I293" s="211"/>
      <c r="J293" s="211"/>
      <c r="K293" s="160"/>
      <c r="L293" s="160"/>
      <c r="M293" s="160"/>
      <c r="N293" s="160"/>
      <c r="O293" s="160"/>
      <c r="P293" s="176"/>
      <c r="Q293" s="149"/>
      <c r="R293" s="149"/>
      <c r="T293" s="139"/>
    </row>
    <row r="294" spans="1:20">
      <c r="A294" s="70" t="s">
        <v>787</v>
      </c>
      <c r="B294" s="54" t="s">
        <v>360</v>
      </c>
      <c r="C294" s="52"/>
      <c r="D294" s="25"/>
      <c r="E294" s="52" t="s">
        <v>623</v>
      </c>
      <c r="F294" s="27">
        <f>H294*40*3*4</f>
        <v>26880.000000000007</v>
      </c>
      <c r="G294" s="57">
        <v>42</v>
      </c>
      <c r="H294" s="57">
        <f t="shared" ref="H294:H302" si="74">G294/75*100</f>
        <v>56.000000000000007</v>
      </c>
      <c r="I294" s="57"/>
      <c r="J294" s="57"/>
      <c r="K294" s="162">
        <f t="shared" ref="K294:K308" si="75">I294*S294</f>
        <v>0</v>
      </c>
      <c r="L294" s="162">
        <f t="shared" ref="L294:L308" si="76">J294*S294</f>
        <v>0</v>
      </c>
      <c r="M294" s="25"/>
      <c r="N294" s="212" t="s">
        <v>619</v>
      </c>
      <c r="O294" s="212"/>
      <c r="P294" s="232" t="s">
        <v>863</v>
      </c>
      <c r="Q294" s="146">
        <f t="shared" ref="Q294:Q304" si="77">F294*(1-$Q$10)</f>
        <v>26880.000000000007</v>
      </c>
      <c r="R294" s="146">
        <f t="shared" ref="R294:R304" si="78">H294*(1-$Q$10)</f>
        <v>56.000000000000007</v>
      </c>
      <c r="S294" s="134"/>
      <c r="T294" s="138">
        <f t="shared" ref="T294:T304" si="79">S294*Q294</f>
        <v>0</v>
      </c>
    </row>
    <row r="295" spans="1:20" ht="25.5">
      <c r="A295" s="70" t="s">
        <v>833</v>
      </c>
      <c r="B295" s="54" t="s">
        <v>857</v>
      </c>
      <c r="C295" s="52"/>
      <c r="D295" s="25"/>
      <c r="E295" s="52" t="s">
        <v>623</v>
      </c>
      <c r="F295" s="27">
        <f>H295*40*3*4</f>
        <v>23680</v>
      </c>
      <c r="G295" s="57">
        <v>37</v>
      </c>
      <c r="H295" s="57">
        <f t="shared" si="74"/>
        <v>49.333333333333336</v>
      </c>
      <c r="I295" s="167">
        <v>2.7E-2</v>
      </c>
      <c r="J295" s="168">
        <v>8.5</v>
      </c>
      <c r="K295" s="162">
        <f t="shared" si="75"/>
        <v>0</v>
      </c>
      <c r="L295" s="162">
        <f t="shared" si="76"/>
        <v>0</v>
      </c>
      <c r="M295" s="25"/>
      <c r="N295" s="212"/>
      <c r="O295" s="212"/>
      <c r="P295" s="232" t="s">
        <v>865</v>
      </c>
      <c r="Q295" s="146">
        <f t="shared" si="77"/>
        <v>23680</v>
      </c>
      <c r="R295" s="146">
        <f t="shared" si="78"/>
        <v>49.333333333333336</v>
      </c>
      <c r="S295" s="134"/>
      <c r="T295" s="138"/>
    </row>
    <row r="296" spans="1:20">
      <c r="A296" s="70" t="s">
        <v>361</v>
      </c>
      <c r="B296" s="2" t="s">
        <v>362</v>
      </c>
      <c r="C296" s="47" t="s">
        <v>310</v>
      </c>
      <c r="D296" s="46"/>
      <c r="E296" s="47" t="s">
        <v>363</v>
      </c>
      <c r="F296" s="27">
        <f>H296*500</f>
        <v>52500</v>
      </c>
      <c r="G296" s="114">
        <v>93</v>
      </c>
      <c r="H296" s="57">
        <v>105</v>
      </c>
      <c r="I296" s="25">
        <v>4.7E-2</v>
      </c>
      <c r="J296" s="25">
        <v>16.100000000000001</v>
      </c>
      <c r="K296" s="162">
        <f t="shared" si="75"/>
        <v>0</v>
      </c>
      <c r="L296" s="162">
        <f t="shared" si="76"/>
        <v>0</v>
      </c>
      <c r="M296" s="15"/>
      <c r="N296" s="213" t="s">
        <v>619</v>
      </c>
      <c r="O296" s="213"/>
      <c r="P296" s="235" t="s">
        <v>864</v>
      </c>
      <c r="Q296" s="146">
        <f t="shared" si="77"/>
        <v>52500</v>
      </c>
      <c r="R296" s="146">
        <f t="shared" si="78"/>
        <v>105</v>
      </c>
      <c r="S296" s="134"/>
      <c r="T296" s="138">
        <f t="shared" si="79"/>
        <v>0</v>
      </c>
    </row>
    <row r="297" spans="1:20" ht="21">
      <c r="A297" s="70" t="s">
        <v>364</v>
      </c>
      <c r="B297" s="54" t="s">
        <v>365</v>
      </c>
      <c r="C297" s="52" t="s">
        <v>366</v>
      </c>
      <c r="D297" s="25"/>
      <c r="E297" s="52" t="s">
        <v>367</v>
      </c>
      <c r="F297" s="27">
        <f>H297*16*6</f>
        <v>33600</v>
      </c>
      <c r="G297" s="57">
        <v>255</v>
      </c>
      <c r="H297" s="57">
        <v>350</v>
      </c>
      <c r="I297" s="167">
        <v>5.7000000000000002E-2</v>
      </c>
      <c r="J297" s="168">
        <v>12.6</v>
      </c>
      <c r="K297" s="162">
        <f t="shared" si="75"/>
        <v>0</v>
      </c>
      <c r="L297" s="162">
        <f t="shared" si="76"/>
        <v>0</v>
      </c>
      <c r="M297" s="25"/>
      <c r="N297" s="212" t="s">
        <v>619</v>
      </c>
      <c r="O297" s="126" t="s">
        <v>845</v>
      </c>
      <c r="P297" s="235" t="s">
        <v>864</v>
      </c>
      <c r="Q297" s="146">
        <f t="shared" si="77"/>
        <v>33600</v>
      </c>
      <c r="R297" s="146">
        <f t="shared" si="78"/>
        <v>350</v>
      </c>
      <c r="S297" s="134"/>
      <c r="T297" s="138">
        <f t="shared" si="79"/>
        <v>0</v>
      </c>
    </row>
    <row r="298" spans="1:20" ht="21">
      <c r="A298" s="70" t="s">
        <v>369</v>
      </c>
      <c r="B298" s="54" t="s">
        <v>370</v>
      </c>
      <c r="C298" s="52" t="s">
        <v>371</v>
      </c>
      <c r="D298" s="25"/>
      <c r="E298" s="52" t="s">
        <v>372</v>
      </c>
      <c r="F298" s="27">
        <f>H298*16*4</f>
        <v>43520</v>
      </c>
      <c r="G298" s="57">
        <v>510</v>
      </c>
      <c r="H298" s="57">
        <f t="shared" si="74"/>
        <v>680</v>
      </c>
      <c r="I298" s="25">
        <v>8.5000000000000006E-2</v>
      </c>
      <c r="J298" s="25">
        <v>19.600000000000001</v>
      </c>
      <c r="K298" s="162">
        <f t="shared" si="75"/>
        <v>0</v>
      </c>
      <c r="L298" s="162">
        <f t="shared" si="76"/>
        <v>0</v>
      </c>
      <c r="M298" s="25"/>
      <c r="N298" s="212" t="s">
        <v>619</v>
      </c>
      <c r="O298" s="126" t="s">
        <v>845</v>
      </c>
      <c r="P298" s="235" t="s">
        <v>864</v>
      </c>
      <c r="Q298" s="146">
        <f t="shared" si="77"/>
        <v>43520</v>
      </c>
      <c r="R298" s="146">
        <f t="shared" si="78"/>
        <v>680</v>
      </c>
      <c r="S298" s="134"/>
      <c r="T298" s="138">
        <f t="shared" si="79"/>
        <v>0</v>
      </c>
    </row>
    <row r="299" spans="1:20">
      <c r="A299" s="70" t="s">
        <v>373</v>
      </c>
      <c r="B299" s="54" t="s">
        <v>374</v>
      </c>
      <c r="C299" s="52" t="s">
        <v>375</v>
      </c>
      <c r="D299" s="25"/>
      <c r="E299" s="52" t="s">
        <v>729</v>
      </c>
      <c r="F299" s="27">
        <f>H299*24</f>
        <v>33024</v>
      </c>
      <c r="G299" s="57">
        <v>1032</v>
      </c>
      <c r="H299" s="57">
        <f t="shared" si="74"/>
        <v>1376</v>
      </c>
      <c r="I299" s="57"/>
      <c r="J299" s="57"/>
      <c r="K299" s="162">
        <f t="shared" si="75"/>
        <v>0</v>
      </c>
      <c r="L299" s="162">
        <f t="shared" si="76"/>
        <v>0</v>
      </c>
      <c r="M299" s="25"/>
      <c r="N299" s="212" t="s">
        <v>619</v>
      </c>
      <c r="O299" s="212"/>
      <c r="P299" s="235" t="s">
        <v>864</v>
      </c>
      <c r="Q299" s="146">
        <f t="shared" si="77"/>
        <v>33024</v>
      </c>
      <c r="R299" s="146">
        <f t="shared" si="78"/>
        <v>1376</v>
      </c>
      <c r="S299" s="134"/>
      <c r="T299" s="138">
        <f t="shared" si="79"/>
        <v>0</v>
      </c>
    </row>
    <row r="300" spans="1:20" hidden="1">
      <c r="A300" s="71" t="s">
        <v>376</v>
      </c>
      <c r="B300" s="72" t="s">
        <v>377</v>
      </c>
      <c r="C300" s="43"/>
      <c r="D300" s="42"/>
      <c r="E300" s="43" t="s">
        <v>132</v>
      </c>
      <c r="F300" s="27">
        <f>H300*24</f>
        <v>34432</v>
      </c>
      <c r="G300" s="214">
        <v>1076</v>
      </c>
      <c r="H300" s="57">
        <f t="shared" si="74"/>
        <v>1434.6666666666665</v>
      </c>
      <c r="I300" s="57"/>
      <c r="J300" s="57"/>
      <c r="K300" s="162">
        <f t="shared" si="75"/>
        <v>0</v>
      </c>
      <c r="L300" s="162">
        <f t="shared" si="76"/>
        <v>0</v>
      </c>
      <c r="M300" s="15"/>
      <c r="N300" s="213" t="s">
        <v>619</v>
      </c>
      <c r="O300" s="213"/>
      <c r="P300" s="97" t="s">
        <v>490</v>
      </c>
      <c r="Q300" s="146">
        <f t="shared" si="77"/>
        <v>34432</v>
      </c>
      <c r="R300" s="146">
        <f t="shared" si="78"/>
        <v>1434.6666666666665</v>
      </c>
      <c r="S300" s="134"/>
      <c r="T300" s="138">
        <f t="shared" si="79"/>
        <v>0</v>
      </c>
    </row>
    <row r="301" spans="1:20" hidden="1">
      <c r="A301" s="71" t="s">
        <v>378</v>
      </c>
      <c r="B301" s="72" t="s">
        <v>379</v>
      </c>
      <c r="C301" s="43"/>
      <c r="D301" s="42"/>
      <c r="E301" s="43" t="s">
        <v>132</v>
      </c>
      <c r="F301" s="27">
        <f>H301*24</f>
        <v>33568</v>
      </c>
      <c r="G301" s="214">
        <v>1049</v>
      </c>
      <c r="H301" s="57">
        <f t="shared" si="74"/>
        <v>1398.6666666666667</v>
      </c>
      <c r="I301" s="57"/>
      <c r="J301" s="57"/>
      <c r="K301" s="162">
        <f t="shared" si="75"/>
        <v>0</v>
      </c>
      <c r="L301" s="162">
        <f t="shared" si="76"/>
        <v>0</v>
      </c>
      <c r="M301" s="15"/>
      <c r="N301" s="213" t="s">
        <v>619</v>
      </c>
      <c r="O301" s="213"/>
      <c r="P301" s="97" t="s">
        <v>490</v>
      </c>
      <c r="Q301" s="146">
        <f t="shared" si="77"/>
        <v>33568</v>
      </c>
      <c r="R301" s="146">
        <f t="shared" si="78"/>
        <v>1398.6666666666667</v>
      </c>
      <c r="S301" s="134"/>
      <c r="T301" s="138">
        <f t="shared" si="79"/>
        <v>0</v>
      </c>
    </row>
    <row r="302" spans="1:20" hidden="1">
      <c r="A302" s="70" t="s">
        <v>380</v>
      </c>
      <c r="B302" s="2" t="s">
        <v>381</v>
      </c>
      <c r="C302" s="47"/>
      <c r="D302" s="46"/>
      <c r="E302" s="47" t="s">
        <v>156</v>
      </c>
      <c r="F302" s="27">
        <f>H302*12</f>
        <v>17856</v>
      </c>
      <c r="G302" s="114">
        <v>1116</v>
      </c>
      <c r="H302" s="57">
        <f t="shared" si="74"/>
        <v>1488</v>
      </c>
      <c r="I302" s="57"/>
      <c r="J302" s="57"/>
      <c r="K302" s="162">
        <f t="shared" si="75"/>
        <v>0</v>
      </c>
      <c r="L302" s="162">
        <f t="shared" si="76"/>
        <v>0</v>
      </c>
      <c r="M302" s="15"/>
      <c r="N302" s="213" t="s">
        <v>619</v>
      </c>
      <c r="O302" s="213"/>
      <c r="P302" s="97" t="s">
        <v>490</v>
      </c>
      <c r="Q302" s="146">
        <f t="shared" si="77"/>
        <v>17856</v>
      </c>
      <c r="R302" s="146">
        <f t="shared" si="78"/>
        <v>1488</v>
      </c>
      <c r="S302" s="134"/>
      <c r="T302" s="138">
        <f t="shared" si="79"/>
        <v>0</v>
      </c>
    </row>
    <row r="303" spans="1:20">
      <c r="A303" s="73" t="s">
        <v>382</v>
      </c>
      <c r="B303" s="87" t="s">
        <v>566</v>
      </c>
      <c r="C303" s="89"/>
      <c r="D303" s="88"/>
      <c r="E303" s="89" t="s">
        <v>156</v>
      </c>
      <c r="F303" s="27">
        <f>H303*12</f>
        <v>25200</v>
      </c>
      <c r="G303" s="68">
        <v>1710</v>
      </c>
      <c r="H303" s="57">
        <v>2100</v>
      </c>
      <c r="I303" s="167">
        <v>7.0000000000000007E-2</v>
      </c>
      <c r="J303" s="168">
        <v>10.9</v>
      </c>
      <c r="K303" s="162">
        <f t="shared" si="75"/>
        <v>0</v>
      </c>
      <c r="L303" s="162">
        <f t="shared" si="76"/>
        <v>0</v>
      </c>
      <c r="M303" s="25"/>
      <c r="N303" s="212" t="s">
        <v>619</v>
      </c>
      <c r="O303" s="212"/>
      <c r="P303" s="235" t="s">
        <v>864</v>
      </c>
      <c r="Q303" s="146">
        <f t="shared" si="77"/>
        <v>25200</v>
      </c>
      <c r="R303" s="146">
        <f t="shared" si="78"/>
        <v>2100</v>
      </c>
      <c r="S303" s="134"/>
      <c r="T303" s="138">
        <f t="shared" si="79"/>
        <v>0</v>
      </c>
    </row>
    <row r="304" spans="1:20" ht="21">
      <c r="A304" s="70" t="s">
        <v>616</v>
      </c>
      <c r="B304" s="54" t="s">
        <v>617</v>
      </c>
      <c r="C304" s="52"/>
      <c r="D304" s="25"/>
      <c r="E304" s="52" t="s">
        <v>127</v>
      </c>
      <c r="F304" s="27">
        <f>H304*24*4</f>
        <v>49920</v>
      </c>
      <c r="G304" s="231">
        <v>453</v>
      </c>
      <c r="H304" s="57">
        <v>520</v>
      </c>
      <c r="I304" s="25">
        <v>0.05</v>
      </c>
      <c r="J304" s="25">
        <v>12.6</v>
      </c>
      <c r="K304" s="162">
        <f t="shared" si="75"/>
        <v>0</v>
      </c>
      <c r="L304" s="162">
        <f t="shared" si="76"/>
        <v>0</v>
      </c>
      <c r="M304" s="25"/>
      <c r="N304" s="212" t="s">
        <v>619</v>
      </c>
      <c r="O304" s="126" t="s">
        <v>845</v>
      </c>
      <c r="P304" s="235" t="s">
        <v>864</v>
      </c>
      <c r="Q304" s="146">
        <f t="shared" si="77"/>
        <v>49920</v>
      </c>
      <c r="R304" s="146">
        <f t="shared" si="78"/>
        <v>520</v>
      </c>
      <c r="S304" s="134"/>
      <c r="T304" s="138">
        <f t="shared" si="79"/>
        <v>0</v>
      </c>
    </row>
    <row r="305" spans="1:20">
      <c r="A305" s="210" t="s">
        <v>567</v>
      </c>
      <c r="B305" s="160"/>
      <c r="C305" s="160"/>
      <c r="D305" s="160"/>
      <c r="E305" s="160"/>
      <c r="F305" s="160"/>
      <c r="G305" s="160"/>
      <c r="H305" s="160"/>
      <c r="I305" s="211"/>
      <c r="J305" s="211"/>
      <c r="K305" s="162">
        <f t="shared" si="75"/>
        <v>0</v>
      </c>
      <c r="L305" s="162">
        <f t="shared" si="76"/>
        <v>0</v>
      </c>
      <c r="M305" s="160"/>
      <c r="N305" s="160"/>
      <c r="O305" s="160"/>
      <c r="P305" s="176"/>
      <c r="Q305" s="149"/>
      <c r="R305" s="149"/>
      <c r="T305" s="139"/>
    </row>
    <row r="306" spans="1:20" hidden="1">
      <c r="A306" s="44" t="s">
        <v>757</v>
      </c>
      <c r="B306" s="85" t="s">
        <v>778</v>
      </c>
      <c r="C306" s="52"/>
      <c r="D306" s="25"/>
      <c r="E306" s="52" t="s">
        <v>127</v>
      </c>
      <c r="F306" s="27">
        <f>H306*24*4</f>
        <v>34560</v>
      </c>
      <c r="G306" s="68">
        <v>270</v>
      </c>
      <c r="H306" s="57">
        <f>G306/75*100</f>
        <v>360</v>
      </c>
      <c r="I306" s="215"/>
      <c r="J306" s="215"/>
      <c r="K306" s="162">
        <f>I316*S306</f>
        <v>0</v>
      </c>
      <c r="L306" s="162">
        <f>J316*S306</f>
        <v>0</v>
      </c>
      <c r="M306" s="216"/>
      <c r="N306" s="212" t="s">
        <v>619</v>
      </c>
      <c r="O306" s="212"/>
      <c r="P306" s="97" t="s">
        <v>490</v>
      </c>
      <c r="Q306" s="146">
        <f>F306*(1-$Q$10)</f>
        <v>34560</v>
      </c>
      <c r="R306" s="146">
        <f>H306*(1-$Q$10)</f>
        <v>360</v>
      </c>
      <c r="S306" s="134"/>
      <c r="T306" s="138">
        <f>S306*Q306</f>
        <v>0</v>
      </c>
    </row>
    <row r="307" spans="1:20">
      <c r="A307" s="44" t="s">
        <v>758</v>
      </c>
      <c r="B307" s="85" t="s">
        <v>779</v>
      </c>
      <c r="C307" s="52"/>
      <c r="D307" s="25"/>
      <c r="E307" s="52" t="s">
        <v>127</v>
      </c>
      <c r="F307" s="27">
        <f>H307*24*4</f>
        <v>34560</v>
      </c>
      <c r="G307" s="68">
        <v>270</v>
      </c>
      <c r="H307" s="57">
        <f>G307/75*100</f>
        <v>360</v>
      </c>
      <c r="I307" s="57"/>
      <c r="J307" s="57"/>
      <c r="K307" s="162">
        <f t="shared" si="75"/>
        <v>0</v>
      </c>
      <c r="L307" s="162">
        <f t="shared" si="76"/>
        <v>0</v>
      </c>
      <c r="M307" s="54"/>
      <c r="N307" s="212" t="s">
        <v>619</v>
      </c>
      <c r="O307" s="212"/>
      <c r="P307" s="232" t="s">
        <v>863</v>
      </c>
      <c r="Q307" s="146">
        <f>F307*(1-$Q$10)</f>
        <v>34560</v>
      </c>
      <c r="R307" s="146">
        <f>H307*(1-$Q$10)</f>
        <v>360</v>
      </c>
      <c r="S307" s="134"/>
      <c r="T307" s="138">
        <f>S307*Q307</f>
        <v>0</v>
      </c>
    </row>
    <row r="308" spans="1:20" ht="15" customHeight="1">
      <c r="A308" s="44" t="s">
        <v>756</v>
      </c>
      <c r="B308" s="85" t="s">
        <v>780</v>
      </c>
      <c r="C308" s="52"/>
      <c r="D308" s="25"/>
      <c r="E308" s="52" t="s">
        <v>127</v>
      </c>
      <c r="F308" s="27">
        <f>H308*24*4</f>
        <v>34560</v>
      </c>
      <c r="G308" s="68">
        <v>270</v>
      </c>
      <c r="H308" s="57">
        <f>G308/75*100</f>
        <v>360</v>
      </c>
      <c r="I308" s="57"/>
      <c r="J308" s="57"/>
      <c r="K308" s="162">
        <f t="shared" si="75"/>
        <v>0</v>
      </c>
      <c r="L308" s="162">
        <f t="shared" si="76"/>
        <v>0</v>
      </c>
      <c r="M308" s="25"/>
      <c r="N308" s="212" t="s">
        <v>619</v>
      </c>
      <c r="O308" s="212"/>
      <c r="P308" s="232" t="s">
        <v>863</v>
      </c>
      <c r="Q308" s="146">
        <f>F308*(1-$Q$10)</f>
        <v>34560</v>
      </c>
      <c r="R308" s="146">
        <f>H308*(1-$Q$10)</f>
        <v>360</v>
      </c>
      <c r="S308" s="134"/>
      <c r="T308" s="138">
        <f>S308*Q308</f>
        <v>0</v>
      </c>
    </row>
    <row r="309" spans="1:20">
      <c r="A309" s="210" t="s">
        <v>383</v>
      </c>
      <c r="B309" s="160"/>
      <c r="C309" s="160"/>
      <c r="D309" s="160"/>
      <c r="E309" s="160"/>
      <c r="F309" s="160"/>
      <c r="G309" s="160"/>
      <c r="H309" s="160"/>
      <c r="I309" s="211"/>
      <c r="J309" s="211"/>
      <c r="K309" s="160"/>
      <c r="L309" s="160"/>
      <c r="M309" s="160"/>
      <c r="N309" s="160"/>
      <c r="O309" s="160"/>
      <c r="P309" s="176"/>
      <c r="Q309" s="149"/>
      <c r="R309" s="149"/>
      <c r="T309" s="139"/>
    </row>
    <row r="310" spans="1:20">
      <c r="A310" s="44" t="s">
        <v>384</v>
      </c>
      <c r="B310" s="45" t="s">
        <v>385</v>
      </c>
      <c r="C310" s="46"/>
      <c r="D310" s="47"/>
      <c r="E310" s="47" t="s">
        <v>662</v>
      </c>
      <c r="F310" s="27">
        <f>H310*E310</f>
        <v>36000</v>
      </c>
      <c r="G310" s="105">
        <v>5400</v>
      </c>
      <c r="H310" s="57">
        <f>G310/75*100</f>
        <v>7200</v>
      </c>
      <c r="I310" s="57"/>
      <c r="J310" s="57"/>
      <c r="K310" s="162">
        <f>I310*S310</f>
        <v>0</v>
      </c>
      <c r="L310" s="162">
        <f>J310*S310</f>
        <v>0</v>
      </c>
      <c r="M310" s="15"/>
      <c r="N310" s="64" t="s">
        <v>619</v>
      </c>
      <c r="O310" s="64"/>
      <c r="P310" s="232" t="s">
        <v>863</v>
      </c>
      <c r="Q310" s="146">
        <f>F310*(1-$Q$10)</f>
        <v>36000</v>
      </c>
      <c r="R310" s="146">
        <f t="shared" ref="R310:R357" si="80">H310*(1-$Q$10)</f>
        <v>7200</v>
      </c>
      <c r="S310" s="134"/>
      <c r="T310" s="138">
        <f>S310*Q310</f>
        <v>0</v>
      </c>
    </row>
    <row r="311" spans="1:20">
      <c r="A311" s="44" t="s">
        <v>386</v>
      </c>
      <c r="B311" s="45" t="s">
        <v>387</v>
      </c>
      <c r="C311" s="46"/>
      <c r="D311" s="47"/>
      <c r="E311" s="47" t="s">
        <v>662</v>
      </c>
      <c r="F311" s="27">
        <f>H311*E311</f>
        <v>49400</v>
      </c>
      <c r="G311" s="105">
        <v>7410</v>
      </c>
      <c r="H311" s="57">
        <f>G311/75*100</f>
        <v>9880</v>
      </c>
      <c r="I311" s="57"/>
      <c r="J311" s="57"/>
      <c r="K311" s="162">
        <f>I311*S311</f>
        <v>0</v>
      </c>
      <c r="L311" s="162">
        <f>J311*S311</f>
        <v>0</v>
      </c>
      <c r="M311" s="15"/>
      <c r="N311" s="64" t="s">
        <v>619</v>
      </c>
      <c r="O311" s="64"/>
      <c r="P311" s="232" t="s">
        <v>863</v>
      </c>
      <c r="Q311" s="146">
        <f>F311*(1-$Q$10)</f>
        <v>49400</v>
      </c>
      <c r="R311" s="146">
        <f t="shared" si="80"/>
        <v>9880</v>
      </c>
      <c r="S311" s="134"/>
      <c r="T311" s="138">
        <f>S311*Q311</f>
        <v>0</v>
      </c>
    </row>
    <row r="312" spans="1:20" hidden="1">
      <c r="A312" s="60" t="s">
        <v>388</v>
      </c>
      <c r="B312" s="61" t="s">
        <v>389</v>
      </c>
      <c r="C312" s="24" t="s">
        <v>390</v>
      </c>
      <c r="D312" s="38"/>
      <c r="E312" s="38" t="s">
        <v>652</v>
      </c>
      <c r="F312" s="27">
        <f>H312*E312</f>
        <v>37466.666666666672</v>
      </c>
      <c r="G312" s="63">
        <v>2810</v>
      </c>
      <c r="H312" s="57">
        <f>G312/75*100</f>
        <v>3746.666666666667</v>
      </c>
      <c r="I312" s="57"/>
      <c r="J312" s="57"/>
      <c r="K312" s="162">
        <f>I312*S312</f>
        <v>0</v>
      </c>
      <c r="L312" s="162">
        <f>J312*S312</f>
        <v>0</v>
      </c>
      <c r="M312" s="25"/>
      <c r="N312" s="29" t="s">
        <v>619</v>
      </c>
      <c r="O312" s="29"/>
      <c r="P312" s="97" t="s">
        <v>490</v>
      </c>
      <c r="Q312" s="146">
        <f>F312*(1-$Q$10)</f>
        <v>37466.666666666672</v>
      </c>
      <c r="R312" s="146">
        <f t="shared" si="80"/>
        <v>3746.666666666667</v>
      </c>
      <c r="S312" s="134"/>
      <c r="T312" s="138">
        <f>S312*Q312</f>
        <v>0</v>
      </c>
    </row>
    <row r="313" spans="1:20" ht="15" hidden="1" customHeight="1">
      <c r="A313" s="60" t="s">
        <v>391</v>
      </c>
      <c r="B313" s="61" t="s">
        <v>392</v>
      </c>
      <c r="C313" s="24" t="s">
        <v>393</v>
      </c>
      <c r="D313" s="38"/>
      <c r="E313" s="38" t="s">
        <v>663</v>
      </c>
      <c r="F313" s="27">
        <f>H313*E313</f>
        <v>31880</v>
      </c>
      <c r="G313" s="63">
        <v>7970</v>
      </c>
      <c r="H313" s="57">
        <f>G313/75*100</f>
        <v>10626.666666666666</v>
      </c>
      <c r="I313" s="57"/>
      <c r="J313" s="57"/>
      <c r="K313" s="162">
        <f>I313*S313</f>
        <v>0</v>
      </c>
      <c r="L313" s="162">
        <f>J313*S313</f>
        <v>0</v>
      </c>
      <c r="M313" s="25"/>
      <c r="N313" s="29" t="s">
        <v>619</v>
      </c>
      <c r="O313" s="29"/>
      <c r="P313" s="97" t="s">
        <v>490</v>
      </c>
      <c r="Q313" s="146">
        <f>F313*(1-$Q$10)</f>
        <v>31880</v>
      </c>
      <c r="R313" s="146">
        <f t="shared" si="80"/>
        <v>10626.666666666666</v>
      </c>
      <c r="S313" s="134"/>
      <c r="T313" s="138">
        <f>S313*Q313</f>
        <v>0</v>
      </c>
    </row>
    <row r="314" spans="1:20">
      <c r="A314" s="210" t="s">
        <v>394</v>
      </c>
      <c r="B314" s="160"/>
      <c r="C314" s="160"/>
      <c r="D314" s="160"/>
      <c r="E314" s="160"/>
      <c r="F314" s="160"/>
      <c r="G314" s="160"/>
      <c r="H314" s="160"/>
      <c r="I314" s="211"/>
      <c r="J314" s="211"/>
      <c r="K314" s="160"/>
      <c r="L314" s="160"/>
      <c r="M314" s="160"/>
      <c r="N314" s="160"/>
      <c r="O314" s="160"/>
      <c r="P314" s="176"/>
      <c r="Q314" s="149"/>
      <c r="R314" s="149"/>
      <c r="T314" s="139"/>
    </row>
    <row r="315" spans="1:20">
      <c r="A315" s="44" t="s">
        <v>395</v>
      </c>
      <c r="B315" s="45" t="s">
        <v>396</v>
      </c>
      <c r="C315" s="46" t="s">
        <v>397</v>
      </c>
      <c r="D315" s="47"/>
      <c r="E315" s="74" t="s">
        <v>398</v>
      </c>
      <c r="F315" s="27">
        <f>H315*20*500</f>
        <v>32000</v>
      </c>
      <c r="G315" s="217">
        <v>2.4</v>
      </c>
      <c r="H315" s="57">
        <f>G315/75*100</f>
        <v>3.2</v>
      </c>
      <c r="I315" s="57"/>
      <c r="J315" s="57"/>
      <c r="K315" s="162">
        <f>I315*S315</f>
        <v>0</v>
      </c>
      <c r="L315" s="162">
        <f>J315*S315</f>
        <v>0</v>
      </c>
      <c r="M315" s="15"/>
      <c r="N315" s="15"/>
      <c r="O315" s="15"/>
      <c r="P315" s="235" t="s">
        <v>864</v>
      </c>
      <c r="Q315" s="146">
        <f>F315*(1-$Q$10)</f>
        <v>32000</v>
      </c>
      <c r="R315" s="146">
        <f t="shared" si="80"/>
        <v>3.2</v>
      </c>
      <c r="S315" s="134"/>
      <c r="T315" s="138">
        <f>S315*Q315</f>
        <v>0</v>
      </c>
    </row>
    <row r="316" spans="1:20">
      <c r="A316" s="58" t="s">
        <v>399</v>
      </c>
      <c r="B316" s="54" t="s">
        <v>400</v>
      </c>
      <c r="C316" s="25" t="s">
        <v>371</v>
      </c>
      <c r="D316" s="52"/>
      <c r="E316" s="79" t="s">
        <v>401</v>
      </c>
      <c r="F316" s="27">
        <f>H316*48*12*10</f>
        <v>32256.000000000004</v>
      </c>
      <c r="G316" s="75">
        <v>4.2</v>
      </c>
      <c r="H316" s="57">
        <f>G316/75*100</f>
        <v>5.6000000000000005</v>
      </c>
      <c r="I316" s="167">
        <v>5.8999999999999997E-2</v>
      </c>
      <c r="J316" s="168">
        <v>17.399999999999999</v>
      </c>
      <c r="K316" s="162">
        <f>I316*S316</f>
        <v>0</v>
      </c>
      <c r="L316" s="162">
        <f>J316*S316</f>
        <v>0</v>
      </c>
      <c r="M316" s="25"/>
      <c r="N316" s="25"/>
      <c r="O316" s="25"/>
      <c r="P316" s="235" t="s">
        <v>864</v>
      </c>
      <c r="Q316" s="146">
        <f>F316*(1-$Q$10)</f>
        <v>32256.000000000004</v>
      </c>
      <c r="R316" s="146">
        <f t="shared" si="80"/>
        <v>5.6000000000000005</v>
      </c>
      <c r="S316" s="134"/>
      <c r="T316" s="138">
        <f>S316*Q316</f>
        <v>0</v>
      </c>
    </row>
    <row r="317" spans="1:20">
      <c r="A317" s="58" t="s">
        <v>402</v>
      </c>
      <c r="B317" s="54" t="s">
        <v>403</v>
      </c>
      <c r="C317" s="25" t="s">
        <v>404</v>
      </c>
      <c r="D317" s="52"/>
      <c r="E317" s="79" t="s">
        <v>835</v>
      </c>
      <c r="F317" s="27">
        <f>H317*16*10*5</f>
        <v>24746.666666666664</v>
      </c>
      <c r="G317" s="75">
        <v>23.2</v>
      </c>
      <c r="H317" s="57">
        <f>G317/75*100</f>
        <v>30.933333333333334</v>
      </c>
      <c r="I317" s="167">
        <v>2.1000000000000001E-2</v>
      </c>
      <c r="J317" s="168">
        <v>13.1</v>
      </c>
      <c r="K317" s="162">
        <f>I317*S317</f>
        <v>0</v>
      </c>
      <c r="L317" s="162">
        <f>J317*S317</f>
        <v>0</v>
      </c>
      <c r="M317" s="25"/>
      <c r="N317" s="25"/>
      <c r="O317" s="25"/>
      <c r="P317" s="235" t="s">
        <v>864</v>
      </c>
      <c r="Q317" s="146">
        <f>F317*(1-$Q$10)</f>
        <v>24746.666666666664</v>
      </c>
      <c r="R317" s="146">
        <f t="shared" si="80"/>
        <v>30.933333333333334</v>
      </c>
      <c r="S317" s="134"/>
      <c r="T317" s="138">
        <f>S317*Q317</f>
        <v>0</v>
      </c>
    </row>
    <row r="318" spans="1:20" ht="15" customHeight="1">
      <c r="A318" s="58" t="s">
        <v>405</v>
      </c>
      <c r="B318" s="54" t="s">
        <v>406</v>
      </c>
      <c r="C318" s="25" t="s">
        <v>407</v>
      </c>
      <c r="D318" s="52"/>
      <c r="E318" s="79" t="s">
        <v>733</v>
      </c>
      <c r="F318" s="27">
        <f>H318*16*5*5</f>
        <v>42133.333333333328</v>
      </c>
      <c r="G318" s="75">
        <v>79</v>
      </c>
      <c r="H318" s="57">
        <f>G318/75*100</f>
        <v>105.33333333333333</v>
      </c>
      <c r="I318" s="167">
        <v>3.6999999999999998E-2</v>
      </c>
      <c r="J318" s="168">
        <v>26.7</v>
      </c>
      <c r="K318" s="162">
        <f>I318*S318</f>
        <v>0</v>
      </c>
      <c r="L318" s="162">
        <f>J318*S318</f>
        <v>0</v>
      </c>
      <c r="M318" s="25"/>
      <c r="N318" s="25"/>
      <c r="O318" s="25"/>
      <c r="P318" s="232" t="s">
        <v>865</v>
      </c>
      <c r="Q318" s="146">
        <f>F318*(1-$Q$10)</f>
        <v>42133.333333333328</v>
      </c>
      <c r="R318" s="146">
        <f t="shared" si="80"/>
        <v>105.33333333333333</v>
      </c>
      <c r="S318" s="134"/>
      <c r="T318" s="138">
        <f>S318*Q318</f>
        <v>0</v>
      </c>
    </row>
    <row r="319" spans="1:20">
      <c r="A319" s="210" t="s">
        <v>408</v>
      </c>
      <c r="B319" s="160"/>
      <c r="C319" s="160"/>
      <c r="D319" s="160"/>
      <c r="E319" s="160"/>
      <c r="F319" s="160"/>
      <c r="G319" s="160"/>
      <c r="H319" s="160"/>
      <c r="I319" s="211"/>
      <c r="J319" s="211"/>
      <c r="K319" s="160"/>
      <c r="L319" s="160"/>
      <c r="M319" s="160"/>
      <c r="N319" s="160"/>
      <c r="O319" s="160"/>
      <c r="P319" s="176"/>
      <c r="Q319" s="149"/>
      <c r="R319" s="149"/>
      <c r="T319" s="139"/>
    </row>
    <row r="320" spans="1:20" ht="25.5">
      <c r="A320" s="58" t="s">
        <v>411</v>
      </c>
      <c r="B320" s="54" t="s">
        <v>412</v>
      </c>
      <c r="C320" s="52">
        <v>6</v>
      </c>
      <c r="D320" s="79" t="s">
        <v>298</v>
      </c>
      <c r="E320" s="79" t="s">
        <v>409</v>
      </c>
      <c r="F320" s="27">
        <f>H320*15</f>
        <v>16350</v>
      </c>
      <c r="G320" s="57">
        <v>990</v>
      </c>
      <c r="H320" s="57">
        <v>1090</v>
      </c>
      <c r="I320" s="167">
        <v>0.05</v>
      </c>
      <c r="J320" s="168">
        <v>5.6</v>
      </c>
      <c r="K320" s="162">
        <f>I320*S320</f>
        <v>0</v>
      </c>
      <c r="L320" s="162">
        <f>J320*S320</f>
        <v>0</v>
      </c>
      <c r="M320" s="25" t="s">
        <v>410</v>
      </c>
      <c r="N320" s="29" t="s">
        <v>619</v>
      </c>
      <c r="O320" s="126" t="s">
        <v>845</v>
      </c>
      <c r="P320" s="235" t="s">
        <v>864</v>
      </c>
      <c r="Q320" s="146">
        <f>F320*(1-$Q$10)</f>
        <v>16350</v>
      </c>
      <c r="R320" s="146">
        <f t="shared" si="80"/>
        <v>1090</v>
      </c>
      <c r="S320" s="134"/>
      <c r="T320" s="138">
        <f>S320*Q320</f>
        <v>0</v>
      </c>
    </row>
    <row r="321" spans="1:20" ht="25.5">
      <c r="A321" s="58" t="s">
        <v>413</v>
      </c>
      <c r="B321" s="54" t="s">
        <v>414</v>
      </c>
      <c r="C321" s="52">
        <v>6</v>
      </c>
      <c r="D321" s="79" t="s">
        <v>415</v>
      </c>
      <c r="E321" s="79" t="s">
        <v>416</v>
      </c>
      <c r="F321" s="27">
        <f>H321*12</f>
        <v>15600</v>
      </c>
      <c r="G321" s="57">
        <v>1200</v>
      </c>
      <c r="H321" s="57">
        <v>1300</v>
      </c>
      <c r="I321" s="167">
        <v>6.3E-2</v>
      </c>
      <c r="J321" s="168">
        <v>7.5</v>
      </c>
      <c r="K321" s="162">
        <f>I321*S321</f>
        <v>0</v>
      </c>
      <c r="L321" s="162">
        <f>J321*S321</f>
        <v>0</v>
      </c>
      <c r="M321" s="25" t="s">
        <v>410</v>
      </c>
      <c r="N321" s="29" t="s">
        <v>619</v>
      </c>
      <c r="O321" s="126" t="s">
        <v>845</v>
      </c>
      <c r="P321" s="235" t="s">
        <v>864</v>
      </c>
      <c r="Q321" s="146">
        <f>F321*(1-$Q$10)</f>
        <v>15600</v>
      </c>
      <c r="R321" s="146">
        <f t="shared" si="80"/>
        <v>1300</v>
      </c>
      <c r="S321" s="134"/>
      <c r="T321" s="138">
        <f>S321*Q321</f>
        <v>0</v>
      </c>
    </row>
    <row r="322" spans="1:20" ht="25.5">
      <c r="A322" s="58" t="s">
        <v>417</v>
      </c>
      <c r="B322" s="54" t="s">
        <v>418</v>
      </c>
      <c r="C322" s="52">
        <v>6</v>
      </c>
      <c r="D322" s="79" t="s">
        <v>419</v>
      </c>
      <c r="E322" s="79" t="s">
        <v>416</v>
      </c>
      <c r="F322" s="27">
        <f>H322*12</f>
        <v>18360</v>
      </c>
      <c r="G322" s="57">
        <v>1530</v>
      </c>
      <c r="H322" s="57">
        <v>1530</v>
      </c>
      <c r="I322" s="167">
        <v>7.2999999999999995E-2</v>
      </c>
      <c r="J322" s="168">
        <v>8.1999999999999993</v>
      </c>
      <c r="K322" s="162">
        <f>I322*S322</f>
        <v>0</v>
      </c>
      <c r="L322" s="162">
        <f>J322*S322</f>
        <v>0</v>
      </c>
      <c r="M322" s="25" t="s">
        <v>410</v>
      </c>
      <c r="N322" s="29" t="s">
        <v>619</v>
      </c>
      <c r="O322" s="126" t="s">
        <v>845</v>
      </c>
      <c r="P322" s="235" t="s">
        <v>864</v>
      </c>
      <c r="Q322" s="146">
        <f>F322*(1-$Q$10)</f>
        <v>18360</v>
      </c>
      <c r="R322" s="146">
        <f t="shared" si="80"/>
        <v>1530</v>
      </c>
      <c r="S322" s="134"/>
      <c r="T322" s="138">
        <f>S322*Q322</f>
        <v>0</v>
      </c>
    </row>
    <row r="323" spans="1:20" ht="25.5">
      <c r="A323" s="58" t="s">
        <v>420</v>
      </c>
      <c r="B323" s="54" t="s">
        <v>421</v>
      </c>
      <c r="C323" s="52" t="s">
        <v>422</v>
      </c>
      <c r="D323" s="79" t="s">
        <v>423</v>
      </c>
      <c r="E323" s="79" t="s">
        <v>416</v>
      </c>
      <c r="F323" s="27">
        <f>H323*12</f>
        <v>46800</v>
      </c>
      <c r="G323" s="57">
        <v>4613</v>
      </c>
      <c r="H323" s="57">
        <v>3900</v>
      </c>
      <c r="I323" s="57"/>
      <c r="J323" s="57"/>
      <c r="K323" s="162">
        <f>I323*S323</f>
        <v>0</v>
      </c>
      <c r="L323" s="162">
        <f>J323*S323</f>
        <v>0</v>
      </c>
      <c r="M323" s="25" t="s">
        <v>424</v>
      </c>
      <c r="N323" s="29" t="s">
        <v>619</v>
      </c>
      <c r="O323" s="29"/>
      <c r="P323" s="232" t="s">
        <v>863</v>
      </c>
      <c r="Q323" s="146">
        <f>F323*(1-$Q$10)</f>
        <v>46800</v>
      </c>
      <c r="R323" s="146">
        <f t="shared" si="80"/>
        <v>3900</v>
      </c>
      <c r="S323" s="134"/>
      <c r="T323" s="138">
        <f>S323*Q323</f>
        <v>0</v>
      </c>
    </row>
    <row r="324" spans="1:20" ht="25.5">
      <c r="A324" s="90" t="s">
        <v>425</v>
      </c>
      <c r="B324" s="87" t="s">
        <v>426</v>
      </c>
      <c r="C324" s="89" t="s">
        <v>422</v>
      </c>
      <c r="D324" s="91" t="s">
        <v>423</v>
      </c>
      <c r="E324" s="91" t="s">
        <v>427</v>
      </c>
      <c r="F324" s="27">
        <f>H324*24</f>
        <v>69600</v>
      </c>
      <c r="G324" s="68">
        <v>3067</v>
      </c>
      <c r="H324" s="57">
        <v>2900</v>
      </c>
      <c r="I324" s="57"/>
      <c r="J324" s="57"/>
      <c r="K324" s="162">
        <f>I324*S324</f>
        <v>0</v>
      </c>
      <c r="L324" s="162">
        <f>J324*S324</f>
        <v>0</v>
      </c>
      <c r="M324" s="88" t="s">
        <v>424</v>
      </c>
      <c r="N324" s="29" t="s">
        <v>619</v>
      </c>
      <c r="O324" s="29"/>
      <c r="P324" s="232" t="s">
        <v>863</v>
      </c>
      <c r="Q324" s="146">
        <f>F324*(1-$Q$10)</f>
        <v>69600</v>
      </c>
      <c r="R324" s="146">
        <f t="shared" si="80"/>
        <v>2900</v>
      </c>
      <c r="S324" s="134"/>
      <c r="T324" s="138">
        <f>S324*Q324</f>
        <v>0</v>
      </c>
    </row>
    <row r="325" spans="1:20">
      <c r="A325" s="188" t="s">
        <v>428</v>
      </c>
      <c r="B325" s="156"/>
      <c r="C325" s="156"/>
      <c r="D325" s="156"/>
      <c r="E325" s="156"/>
      <c r="F325" s="156"/>
      <c r="G325" s="156"/>
      <c r="H325" s="156"/>
      <c r="I325" s="189"/>
      <c r="J325" s="189"/>
      <c r="K325" s="156"/>
      <c r="L325" s="156"/>
      <c r="M325" s="156"/>
      <c r="N325" s="156"/>
      <c r="O325" s="156"/>
      <c r="P325" s="173"/>
      <c r="Q325" s="149"/>
      <c r="T325" s="139"/>
    </row>
    <row r="326" spans="1:20" hidden="1">
      <c r="A326" s="44" t="s">
        <v>429</v>
      </c>
      <c r="B326" s="45" t="s">
        <v>430</v>
      </c>
      <c r="C326" s="47">
        <v>10</v>
      </c>
      <c r="D326" s="47" t="s">
        <v>129</v>
      </c>
      <c r="E326" s="47" t="s">
        <v>431</v>
      </c>
      <c r="F326" s="27">
        <f>H326*80*12</f>
        <v>25600</v>
      </c>
      <c r="G326" s="114">
        <v>20</v>
      </c>
      <c r="H326" s="57">
        <f t="shared" ref="H326:H355" si="81">G326/75*100</f>
        <v>26.666666666666668</v>
      </c>
      <c r="I326" s="57"/>
      <c r="J326" s="57"/>
      <c r="K326" s="162">
        <f t="shared" ref="K326:K357" si="82">I326*S326</f>
        <v>0</v>
      </c>
      <c r="L326" s="162">
        <f t="shared" ref="L326:L357" si="83">J326*S326</f>
        <v>0</v>
      </c>
      <c r="M326" s="11"/>
      <c r="N326" s="64" t="s">
        <v>619</v>
      </c>
      <c r="O326" s="64"/>
      <c r="P326" s="97" t="s">
        <v>490</v>
      </c>
      <c r="Q326" s="146">
        <f t="shared" ref="Q326:Q357" si="84">F326*(1-$Q$10)</f>
        <v>25600</v>
      </c>
      <c r="R326" s="146">
        <f t="shared" si="80"/>
        <v>26.666666666666668</v>
      </c>
      <c r="S326" s="134"/>
      <c r="T326" s="138">
        <f t="shared" ref="T326:T357" si="85">S326*Q326</f>
        <v>0</v>
      </c>
    </row>
    <row r="327" spans="1:20" hidden="1">
      <c r="A327" s="44" t="s">
        <v>730</v>
      </c>
      <c r="B327" s="45" t="s">
        <v>433</v>
      </c>
      <c r="C327" s="47">
        <v>20</v>
      </c>
      <c r="D327" s="47" t="s">
        <v>129</v>
      </c>
      <c r="E327" s="47" t="s">
        <v>434</v>
      </c>
      <c r="F327" s="27">
        <f>H327*48*12</f>
        <v>24576</v>
      </c>
      <c r="G327" s="114">
        <v>32</v>
      </c>
      <c r="H327" s="57">
        <f t="shared" si="81"/>
        <v>42.666666666666671</v>
      </c>
      <c r="I327" s="57"/>
      <c r="J327" s="57"/>
      <c r="K327" s="162">
        <f t="shared" si="82"/>
        <v>0</v>
      </c>
      <c r="L327" s="162">
        <f t="shared" si="83"/>
        <v>0</v>
      </c>
      <c r="M327" s="15"/>
      <c r="N327" s="64" t="s">
        <v>619</v>
      </c>
      <c r="O327" s="64"/>
      <c r="P327" s="97" t="s">
        <v>490</v>
      </c>
      <c r="Q327" s="146">
        <f t="shared" si="84"/>
        <v>24576</v>
      </c>
      <c r="R327" s="146">
        <f t="shared" si="80"/>
        <v>42.666666666666671</v>
      </c>
      <c r="S327" s="134"/>
      <c r="T327" s="138">
        <f t="shared" si="85"/>
        <v>0</v>
      </c>
    </row>
    <row r="328" spans="1:20">
      <c r="A328" s="44" t="s">
        <v>432</v>
      </c>
      <c r="B328" s="45" t="s">
        <v>435</v>
      </c>
      <c r="C328" s="47" t="s">
        <v>436</v>
      </c>
      <c r="D328" s="47" t="s">
        <v>129</v>
      </c>
      <c r="E328" s="47" t="s">
        <v>437</v>
      </c>
      <c r="F328" s="27">
        <f>H328*36*12</f>
        <v>30240</v>
      </c>
      <c r="G328" s="114">
        <v>61</v>
      </c>
      <c r="H328" s="57">
        <v>70</v>
      </c>
      <c r="I328" s="57"/>
      <c r="J328" s="57"/>
      <c r="K328" s="162">
        <f t="shared" si="82"/>
        <v>0</v>
      </c>
      <c r="L328" s="162">
        <f t="shared" si="83"/>
        <v>0</v>
      </c>
      <c r="M328" s="15"/>
      <c r="N328" s="64" t="s">
        <v>619</v>
      </c>
      <c r="O328" s="64"/>
      <c r="P328" s="235" t="s">
        <v>864</v>
      </c>
      <c r="Q328" s="146">
        <f t="shared" si="84"/>
        <v>30240</v>
      </c>
      <c r="R328" s="146">
        <f t="shared" si="80"/>
        <v>70</v>
      </c>
      <c r="S328" s="134"/>
      <c r="T328" s="138">
        <f t="shared" si="85"/>
        <v>0</v>
      </c>
    </row>
    <row r="329" spans="1:20" hidden="1">
      <c r="A329" s="44" t="s">
        <v>731</v>
      </c>
      <c r="B329" s="45" t="s">
        <v>438</v>
      </c>
      <c r="C329" s="47">
        <v>60</v>
      </c>
      <c r="D329" s="47" t="s">
        <v>129</v>
      </c>
      <c r="E329" s="47" t="s">
        <v>368</v>
      </c>
      <c r="F329" s="27">
        <v>23300</v>
      </c>
      <c r="G329" s="114">
        <v>82</v>
      </c>
      <c r="H329" s="57">
        <f>F329/48/4</f>
        <v>121.35416666666667</v>
      </c>
      <c r="I329" s="57"/>
      <c r="J329" s="57"/>
      <c r="K329" s="162">
        <f t="shared" si="82"/>
        <v>0</v>
      </c>
      <c r="L329" s="162">
        <f t="shared" si="83"/>
        <v>0</v>
      </c>
      <c r="M329" s="15"/>
      <c r="N329" s="64" t="s">
        <v>619</v>
      </c>
      <c r="O329" s="64"/>
      <c r="P329" s="97" t="s">
        <v>490</v>
      </c>
      <c r="Q329" s="146">
        <f t="shared" si="84"/>
        <v>23300</v>
      </c>
      <c r="R329" s="146">
        <f t="shared" si="80"/>
        <v>121.35416666666667</v>
      </c>
      <c r="S329" s="134"/>
      <c r="T329" s="138">
        <f t="shared" si="85"/>
        <v>0</v>
      </c>
    </row>
    <row r="330" spans="1:20" hidden="1">
      <c r="A330" s="40" t="s">
        <v>439</v>
      </c>
      <c r="B330" s="41" t="s">
        <v>440</v>
      </c>
      <c r="C330" s="43">
        <v>6</v>
      </c>
      <c r="D330" s="43" t="s">
        <v>126</v>
      </c>
      <c r="E330" s="43" t="s">
        <v>441</v>
      </c>
      <c r="F330" s="27">
        <f>H330*36*4</f>
        <v>21888</v>
      </c>
      <c r="G330" s="214">
        <v>114</v>
      </c>
      <c r="H330" s="57">
        <f t="shared" si="81"/>
        <v>152</v>
      </c>
      <c r="I330" s="57"/>
      <c r="J330" s="57"/>
      <c r="K330" s="162">
        <f t="shared" si="82"/>
        <v>0</v>
      </c>
      <c r="L330" s="162">
        <f t="shared" si="83"/>
        <v>0</v>
      </c>
      <c r="M330" s="11"/>
      <c r="N330" s="64" t="s">
        <v>619</v>
      </c>
      <c r="O330" s="64"/>
      <c r="P330" s="97" t="s">
        <v>490</v>
      </c>
      <c r="Q330" s="146">
        <f t="shared" si="84"/>
        <v>21888</v>
      </c>
      <c r="R330" s="146">
        <f t="shared" si="80"/>
        <v>152</v>
      </c>
      <c r="S330" s="134"/>
      <c r="T330" s="138">
        <f t="shared" si="85"/>
        <v>0</v>
      </c>
    </row>
    <row r="331" spans="1:20" hidden="1">
      <c r="A331" s="40" t="s">
        <v>442</v>
      </c>
      <c r="B331" s="41" t="s">
        <v>443</v>
      </c>
      <c r="C331" s="43">
        <v>6</v>
      </c>
      <c r="D331" s="43" t="s">
        <v>126</v>
      </c>
      <c r="E331" s="43" t="s">
        <v>441</v>
      </c>
      <c r="F331" s="27">
        <f>H331*36*4</f>
        <v>21888</v>
      </c>
      <c r="G331" s="214">
        <v>114</v>
      </c>
      <c r="H331" s="57">
        <f t="shared" si="81"/>
        <v>152</v>
      </c>
      <c r="I331" s="57"/>
      <c r="J331" s="57"/>
      <c r="K331" s="162">
        <f t="shared" si="82"/>
        <v>0</v>
      </c>
      <c r="L331" s="162">
        <f t="shared" si="83"/>
        <v>0</v>
      </c>
      <c r="M331" s="11"/>
      <c r="N331" s="64" t="s">
        <v>619</v>
      </c>
      <c r="O331" s="64"/>
      <c r="P331" s="97" t="s">
        <v>490</v>
      </c>
      <c r="Q331" s="146">
        <f t="shared" si="84"/>
        <v>21888</v>
      </c>
      <c r="R331" s="146">
        <f t="shared" si="80"/>
        <v>152</v>
      </c>
      <c r="S331" s="134"/>
      <c r="T331" s="138">
        <f t="shared" si="85"/>
        <v>0</v>
      </c>
    </row>
    <row r="332" spans="1:20" hidden="1">
      <c r="A332" s="40" t="s">
        <v>444</v>
      </c>
      <c r="B332" s="41" t="s">
        <v>445</v>
      </c>
      <c r="C332" s="43">
        <v>8</v>
      </c>
      <c r="D332" s="43" t="s">
        <v>126</v>
      </c>
      <c r="E332" s="43" t="s">
        <v>441</v>
      </c>
      <c r="F332" s="27">
        <f>H332*36*4</f>
        <v>27840</v>
      </c>
      <c r="G332" s="214">
        <v>145</v>
      </c>
      <c r="H332" s="57">
        <f t="shared" si="81"/>
        <v>193.33333333333334</v>
      </c>
      <c r="I332" s="57"/>
      <c r="J332" s="57"/>
      <c r="K332" s="162">
        <f t="shared" si="82"/>
        <v>0</v>
      </c>
      <c r="L332" s="162">
        <f t="shared" si="83"/>
        <v>0</v>
      </c>
      <c r="M332" s="11"/>
      <c r="N332" s="64" t="s">
        <v>619</v>
      </c>
      <c r="O332" s="64"/>
      <c r="P332" s="97" t="s">
        <v>490</v>
      </c>
      <c r="Q332" s="146">
        <f t="shared" si="84"/>
        <v>27840</v>
      </c>
      <c r="R332" s="146">
        <f t="shared" si="80"/>
        <v>193.33333333333334</v>
      </c>
      <c r="S332" s="134"/>
      <c r="T332" s="138">
        <f t="shared" si="85"/>
        <v>0</v>
      </c>
    </row>
    <row r="333" spans="1:20" hidden="1">
      <c r="A333" s="40" t="s">
        <v>446</v>
      </c>
      <c r="B333" s="41" t="s">
        <v>447</v>
      </c>
      <c r="C333" s="43">
        <v>8</v>
      </c>
      <c r="D333" s="43" t="s">
        <v>126</v>
      </c>
      <c r="E333" s="43" t="s">
        <v>441</v>
      </c>
      <c r="F333" s="27">
        <f>H333*36*4</f>
        <v>27840</v>
      </c>
      <c r="G333" s="214">
        <v>145</v>
      </c>
      <c r="H333" s="57">
        <f t="shared" si="81"/>
        <v>193.33333333333334</v>
      </c>
      <c r="I333" s="57"/>
      <c r="J333" s="57"/>
      <c r="K333" s="162">
        <f t="shared" si="82"/>
        <v>0</v>
      </c>
      <c r="L333" s="162">
        <f t="shared" si="83"/>
        <v>0</v>
      </c>
      <c r="M333" s="11"/>
      <c r="N333" s="64" t="s">
        <v>619</v>
      </c>
      <c r="O333" s="64"/>
      <c r="P333" s="97" t="s">
        <v>490</v>
      </c>
      <c r="Q333" s="146">
        <f t="shared" si="84"/>
        <v>27840</v>
      </c>
      <c r="R333" s="146">
        <f t="shared" si="80"/>
        <v>193.33333333333334</v>
      </c>
      <c r="S333" s="134"/>
      <c r="T333" s="138">
        <f t="shared" si="85"/>
        <v>0</v>
      </c>
    </row>
    <row r="334" spans="1:20" hidden="1">
      <c r="A334" s="40" t="s">
        <v>448</v>
      </c>
      <c r="B334" s="41" t="s">
        <v>449</v>
      </c>
      <c r="C334" s="43">
        <v>8</v>
      </c>
      <c r="D334" s="43" t="s">
        <v>126</v>
      </c>
      <c r="E334" s="43" t="s">
        <v>441</v>
      </c>
      <c r="F334" s="27">
        <f>H334*36*4</f>
        <v>27840</v>
      </c>
      <c r="G334" s="214">
        <v>145</v>
      </c>
      <c r="H334" s="57">
        <f t="shared" si="81"/>
        <v>193.33333333333334</v>
      </c>
      <c r="I334" s="57"/>
      <c r="J334" s="57"/>
      <c r="K334" s="162">
        <f t="shared" si="82"/>
        <v>0</v>
      </c>
      <c r="L334" s="162">
        <f t="shared" si="83"/>
        <v>0</v>
      </c>
      <c r="M334" s="11"/>
      <c r="N334" s="64" t="s">
        <v>619</v>
      </c>
      <c r="O334" s="64"/>
      <c r="P334" s="97" t="s">
        <v>490</v>
      </c>
      <c r="Q334" s="146">
        <f t="shared" si="84"/>
        <v>27840</v>
      </c>
      <c r="R334" s="146">
        <f t="shared" si="80"/>
        <v>193.33333333333334</v>
      </c>
      <c r="S334" s="134"/>
      <c r="T334" s="138">
        <f t="shared" si="85"/>
        <v>0</v>
      </c>
    </row>
    <row r="335" spans="1:20" ht="25.5">
      <c r="A335" s="44" t="s">
        <v>450</v>
      </c>
      <c r="B335" s="45" t="s">
        <v>451</v>
      </c>
      <c r="C335" s="47">
        <v>6</v>
      </c>
      <c r="D335" s="47" t="s">
        <v>130</v>
      </c>
      <c r="E335" s="47" t="s">
        <v>127</v>
      </c>
      <c r="F335" s="27">
        <f t="shared" ref="F335:F340" si="86">H335*24*4</f>
        <v>26624.000000000004</v>
      </c>
      <c r="G335" s="114">
        <v>208</v>
      </c>
      <c r="H335" s="57">
        <f t="shared" si="81"/>
        <v>277.33333333333337</v>
      </c>
      <c r="I335" s="57"/>
      <c r="J335" s="57"/>
      <c r="K335" s="162">
        <f t="shared" si="82"/>
        <v>0</v>
      </c>
      <c r="L335" s="162">
        <f t="shared" si="83"/>
        <v>0</v>
      </c>
      <c r="M335" s="11"/>
      <c r="N335" s="64" t="s">
        <v>619</v>
      </c>
      <c r="O335" s="64"/>
      <c r="P335" s="232" t="s">
        <v>865</v>
      </c>
      <c r="Q335" s="146">
        <f t="shared" si="84"/>
        <v>26624.000000000004</v>
      </c>
      <c r="R335" s="146">
        <f t="shared" si="80"/>
        <v>277.33333333333337</v>
      </c>
      <c r="S335" s="134"/>
      <c r="T335" s="138">
        <f t="shared" si="85"/>
        <v>0</v>
      </c>
    </row>
    <row r="336" spans="1:20">
      <c r="A336" s="44" t="s">
        <v>546</v>
      </c>
      <c r="B336" s="45" t="s">
        <v>547</v>
      </c>
      <c r="C336" s="47">
        <v>8</v>
      </c>
      <c r="D336" s="47" t="s">
        <v>130</v>
      </c>
      <c r="E336" s="47" t="s">
        <v>127</v>
      </c>
      <c r="F336" s="27">
        <f t="shared" si="86"/>
        <v>33920</v>
      </c>
      <c r="G336" s="114">
        <v>265</v>
      </c>
      <c r="H336" s="57">
        <f t="shared" si="81"/>
        <v>353.33333333333331</v>
      </c>
      <c r="I336" s="57"/>
      <c r="J336" s="57"/>
      <c r="K336" s="162">
        <f t="shared" si="82"/>
        <v>0</v>
      </c>
      <c r="L336" s="162">
        <f t="shared" si="83"/>
        <v>0</v>
      </c>
      <c r="M336" s="72"/>
      <c r="N336" s="64" t="s">
        <v>619</v>
      </c>
      <c r="O336" s="64"/>
      <c r="P336" s="232" t="s">
        <v>863</v>
      </c>
      <c r="Q336" s="146">
        <f t="shared" si="84"/>
        <v>33920</v>
      </c>
      <c r="R336" s="146">
        <f t="shared" si="80"/>
        <v>353.33333333333331</v>
      </c>
      <c r="S336" s="134"/>
      <c r="T336" s="138">
        <f t="shared" si="85"/>
        <v>0</v>
      </c>
    </row>
    <row r="337" spans="1:20" hidden="1">
      <c r="A337" s="44" t="s">
        <v>452</v>
      </c>
      <c r="B337" s="45" t="s">
        <v>453</v>
      </c>
      <c r="C337" s="47">
        <v>8</v>
      </c>
      <c r="D337" s="47" t="s">
        <v>130</v>
      </c>
      <c r="E337" s="47" t="s">
        <v>127</v>
      </c>
      <c r="F337" s="27">
        <f t="shared" si="86"/>
        <v>33920</v>
      </c>
      <c r="G337" s="114">
        <v>265</v>
      </c>
      <c r="H337" s="57">
        <f t="shared" si="81"/>
        <v>353.33333333333331</v>
      </c>
      <c r="I337" s="57"/>
      <c r="J337" s="57"/>
      <c r="K337" s="162">
        <f t="shared" si="82"/>
        <v>0</v>
      </c>
      <c r="L337" s="162">
        <f t="shared" si="83"/>
        <v>0</v>
      </c>
      <c r="M337" s="11"/>
      <c r="N337" s="64" t="s">
        <v>619</v>
      </c>
      <c r="O337" s="64"/>
      <c r="P337" s="97" t="s">
        <v>490</v>
      </c>
      <c r="Q337" s="146">
        <f t="shared" si="84"/>
        <v>33920</v>
      </c>
      <c r="R337" s="146">
        <f t="shared" si="80"/>
        <v>353.33333333333331</v>
      </c>
      <c r="S337" s="134"/>
      <c r="T337" s="138">
        <f t="shared" si="85"/>
        <v>0</v>
      </c>
    </row>
    <row r="338" spans="1:20" hidden="1">
      <c r="A338" s="40" t="s">
        <v>454</v>
      </c>
      <c r="B338" s="41" t="s">
        <v>455</v>
      </c>
      <c r="C338" s="43">
        <v>5</v>
      </c>
      <c r="D338" s="43" t="s">
        <v>166</v>
      </c>
      <c r="E338" s="43" t="s">
        <v>127</v>
      </c>
      <c r="F338" s="27">
        <f t="shared" si="86"/>
        <v>30591.999999999996</v>
      </c>
      <c r="G338" s="214">
        <v>239</v>
      </c>
      <c r="H338" s="57">
        <f t="shared" si="81"/>
        <v>318.66666666666663</v>
      </c>
      <c r="I338" s="57"/>
      <c r="J338" s="57"/>
      <c r="K338" s="162">
        <f t="shared" si="82"/>
        <v>0</v>
      </c>
      <c r="L338" s="162">
        <f t="shared" si="83"/>
        <v>0</v>
      </c>
      <c r="M338" s="11"/>
      <c r="N338" s="64" t="s">
        <v>619</v>
      </c>
      <c r="O338" s="64"/>
      <c r="P338" s="97" t="s">
        <v>490</v>
      </c>
      <c r="Q338" s="146">
        <f t="shared" si="84"/>
        <v>30591.999999999996</v>
      </c>
      <c r="R338" s="146">
        <f t="shared" si="80"/>
        <v>318.66666666666663</v>
      </c>
      <c r="S338" s="134"/>
      <c r="T338" s="138">
        <f t="shared" si="85"/>
        <v>0</v>
      </c>
    </row>
    <row r="339" spans="1:20" hidden="1">
      <c r="A339" s="44" t="s">
        <v>456</v>
      </c>
      <c r="B339" s="45" t="s">
        <v>457</v>
      </c>
      <c r="C339" s="47">
        <v>5</v>
      </c>
      <c r="D339" s="47" t="s">
        <v>166</v>
      </c>
      <c r="E339" s="47" t="s">
        <v>127</v>
      </c>
      <c r="F339" s="27">
        <f t="shared" si="86"/>
        <v>30591.999999999996</v>
      </c>
      <c r="G339" s="114">
        <v>239</v>
      </c>
      <c r="H339" s="57">
        <f t="shared" si="81"/>
        <v>318.66666666666663</v>
      </c>
      <c r="I339" s="57"/>
      <c r="J339" s="57"/>
      <c r="K339" s="162">
        <f t="shared" si="82"/>
        <v>0</v>
      </c>
      <c r="L339" s="162">
        <f t="shared" si="83"/>
        <v>0</v>
      </c>
      <c r="M339" s="11"/>
      <c r="N339" s="64" t="s">
        <v>619</v>
      </c>
      <c r="O339" s="64"/>
      <c r="P339" s="97" t="s">
        <v>490</v>
      </c>
      <c r="Q339" s="146">
        <f t="shared" si="84"/>
        <v>30591.999999999996</v>
      </c>
      <c r="R339" s="146">
        <f t="shared" si="80"/>
        <v>318.66666666666663</v>
      </c>
      <c r="S339" s="134"/>
      <c r="T339" s="138">
        <f t="shared" si="85"/>
        <v>0</v>
      </c>
    </row>
    <row r="340" spans="1:20" hidden="1">
      <c r="A340" s="40" t="s">
        <v>458</v>
      </c>
      <c r="B340" s="41" t="s">
        <v>459</v>
      </c>
      <c r="C340" s="43">
        <v>5</v>
      </c>
      <c r="D340" s="43" t="s">
        <v>166</v>
      </c>
      <c r="E340" s="43" t="s">
        <v>127</v>
      </c>
      <c r="F340" s="27">
        <f t="shared" si="86"/>
        <v>30591.999999999996</v>
      </c>
      <c r="G340" s="214">
        <v>239</v>
      </c>
      <c r="H340" s="57">
        <f t="shared" si="81"/>
        <v>318.66666666666663</v>
      </c>
      <c r="I340" s="57"/>
      <c r="J340" s="57"/>
      <c r="K340" s="162">
        <f t="shared" si="82"/>
        <v>0</v>
      </c>
      <c r="L340" s="162">
        <f t="shared" si="83"/>
        <v>0</v>
      </c>
      <c r="M340" s="11"/>
      <c r="N340" s="64" t="s">
        <v>619</v>
      </c>
      <c r="O340" s="64"/>
      <c r="P340" s="97" t="s">
        <v>490</v>
      </c>
      <c r="Q340" s="146">
        <f t="shared" si="84"/>
        <v>30591.999999999996</v>
      </c>
      <c r="R340" s="146">
        <f t="shared" si="80"/>
        <v>318.66666666666663</v>
      </c>
      <c r="S340" s="134"/>
      <c r="T340" s="138">
        <f t="shared" si="85"/>
        <v>0</v>
      </c>
    </row>
    <row r="341" spans="1:20" hidden="1">
      <c r="A341" s="44" t="s">
        <v>460</v>
      </c>
      <c r="B341" s="45" t="s">
        <v>461</v>
      </c>
      <c r="C341" s="47">
        <v>8</v>
      </c>
      <c r="D341" s="47" t="s">
        <v>166</v>
      </c>
      <c r="E341" s="47" t="s">
        <v>462</v>
      </c>
      <c r="F341" s="27">
        <f>H341*72</f>
        <v>28800</v>
      </c>
      <c r="G341" s="114">
        <v>340</v>
      </c>
      <c r="H341" s="57">
        <v>400</v>
      </c>
      <c r="I341" s="57"/>
      <c r="J341" s="57"/>
      <c r="K341" s="162">
        <f t="shared" si="82"/>
        <v>0</v>
      </c>
      <c r="L341" s="162">
        <f t="shared" si="83"/>
        <v>0</v>
      </c>
      <c r="M341" s="11"/>
      <c r="N341" s="64" t="s">
        <v>619</v>
      </c>
      <c r="O341" s="64"/>
      <c r="P341" s="97" t="s">
        <v>490</v>
      </c>
      <c r="Q341" s="146">
        <f t="shared" si="84"/>
        <v>28800</v>
      </c>
      <c r="R341" s="146">
        <f t="shared" si="80"/>
        <v>400</v>
      </c>
      <c r="S341" s="134"/>
      <c r="T341" s="138">
        <f t="shared" si="85"/>
        <v>0</v>
      </c>
    </row>
    <row r="342" spans="1:20" ht="21">
      <c r="A342" s="44" t="s">
        <v>548</v>
      </c>
      <c r="B342" s="45" t="s">
        <v>549</v>
      </c>
      <c r="C342" s="47">
        <v>8</v>
      </c>
      <c r="D342" s="47" t="s">
        <v>166</v>
      </c>
      <c r="E342" s="47" t="s">
        <v>462</v>
      </c>
      <c r="F342" s="27">
        <f t="shared" ref="F342:F348" si="87">H342*72</f>
        <v>28800</v>
      </c>
      <c r="G342" s="114">
        <v>340</v>
      </c>
      <c r="H342" s="57">
        <v>400</v>
      </c>
      <c r="I342" s="167">
        <v>4.4999999999999998E-2</v>
      </c>
      <c r="J342" s="168">
        <v>18.7</v>
      </c>
      <c r="K342" s="162">
        <f t="shared" si="82"/>
        <v>0</v>
      </c>
      <c r="L342" s="162">
        <f t="shared" si="83"/>
        <v>0</v>
      </c>
      <c r="M342" s="208"/>
      <c r="N342" s="64" t="s">
        <v>619</v>
      </c>
      <c r="O342" s="126" t="s">
        <v>845</v>
      </c>
      <c r="P342" s="235" t="s">
        <v>864</v>
      </c>
      <c r="Q342" s="146">
        <f t="shared" si="84"/>
        <v>28800</v>
      </c>
      <c r="R342" s="146">
        <f t="shared" si="80"/>
        <v>400</v>
      </c>
      <c r="S342" s="134"/>
      <c r="T342" s="138">
        <f t="shared" si="85"/>
        <v>0</v>
      </c>
    </row>
    <row r="343" spans="1:20" hidden="1">
      <c r="A343" s="40" t="s">
        <v>463</v>
      </c>
      <c r="B343" s="41" t="s">
        <v>464</v>
      </c>
      <c r="C343" s="43">
        <v>8</v>
      </c>
      <c r="D343" s="43" t="s">
        <v>166</v>
      </c>
      <c r="E343" s="43" t="s">
        <v>462</v>
      </c>
      <c r="F343" s="27">
        <f t="shared" si="87"/>
        <v>28800</v>
      </c>
      <c r="G343" s="114">
        <v>340</v>
      </c>
      <c r="H343" s="57">
        <v>400</v>
      </c>
      <c r="I343" s="57"/>
      <c r="J343" s="57"/>
      <c r="K343" s="162">
        <f t="shared" si="82"/>
        <v>0</v>
      </c>
      <c r="L343" s="162">
        <f t="shared" si="83"/>
        <v>0</v>
      </c>
      <c r="M343" s="11"/>
      <c r="N343" s="64" t="s">
        <v>619</v>
      </c>
      <c r="O343" s="64"/>
      <c r="P343" s="97" t="s">
        <v>490</v>
      </c>
      <c r="Q343" s="146">
        <f t="shared" si="84"/>
        <v>28800</v>
      </c>
      <c r="R343" s="146">
        <f t="shared" si="80"/>
        <v>400</v>
      </c>
      <c r="S343" s="134"/>
      <c r="T343" s="138">
        <f t="shared" si="85"/>
        <v>0</v>
      </c>
    </row>
    <row r="344" spans="1:20">
      <c r="A344" s="44" t="s">
        <v>550</v>
      </c>
      <c r="B344" s="45" t="s">
        <v>551</v>
      </c>
      <c r="C344" s="47">
        <v>8</v>
      </c>
      <c r="D344" s="47" t="s">
        <v>166</v>
      </c>
      <c r="E344" s="47" t="s">
        <v>462</v>
      </c>
      <c r="F344" s="27">
        <f t="shared" si="87"/>
        <v>28800</v>
      </c>
      <c r="G344" s="114">
        <v>340</v>
      </c>
      <c r="H344" s="57">
        <v>400</v>
      </c>
      <c r="I344" s="57"/>
      <c r="J344" s="57"/>
      <c r="K344" s="162">
        <f t="shared" si="82"/>
        <v>0</v>
      </c>
      <c r="L344" s="162">
        <f t="shared" si="83"/>
        <v>0</v>
      </c>
      <c r="M344" s="72"/>
      <c r="N344" s="64" t="s">
        <v>619</v>
      </c>
      <c r="O344" s="64"/>
      <c r="P344" s="235" t="s">
        <v>864</v>
      </c>
      <c r="Q344" s="146">
        <f t="shared" si="84"/>
        <v>28800</v>
      </c>
      <c r="R344" s="146">
        <f t="shared" si="80"/>
        <v>400</v>
      </c>
      <c r="S344" s="134"/>
      <c r="T344" s="138">
        <f t="shared" si="85"/>
        <v>0</v>
      </c>
    </row>
    <row r="345" spans="1:20" hidden="1">
      <c r="A345" s="44" t="s">
        <v>465</v>
      </c>
      <c r="B345" s="45" t="s">
        <v>466</v>
      </c>
      <c r="C345" s="47">
        <v>8</v>
      </c>
      <c r="D345" s="47" t="s">
        <v>166</v>
      </c>
      <c r="E345" s="47" t="s">
        <v>462</v>
      </c>
      <c r="F345" s="27">
        <f t="shared" si="87"/>
        <v>28800</v>
      </c>
      <c r="G345" s="114">
        <v>340</v>
      </c>
      <c r="H345" s="57">
        <v>400</v>
      </c>
      <c r="I345" s="57"/>
      <c r="J345" s="57"/>
      <c r="K345" s="162">
        <f t="shared" si="82"/>
        <v>0</v>
      </c>
      <c r="L345" s="162">
        <f t="shared" si="83"/>
        <v>0</v>
      </c>
      <c r="M345" s="187"/>
      <c r="N345" s="64" t="s">
        <v>619</v>
      </c>
      <c r="O345" s="64"/>
      <c r="P345" s="97" t="s">
        <v>490</v>
      </c>
      <c r="Q345" s="146">
        <f t="shared" si="84"/>
        <v>28800</v>
      </c>
      <c r="R345" s="146">
        <f t="shared" si="80"/>
        <v>400</v>
      </c>
      <c r="S345" s="134"/>
      <c r="T345" s="138">
        <f t="shared" si="85"/>
        <v>0</v>
      </c>
    </row>
    <row r="346" spans="1:20" hidden="1">
      <c r="A346" s="40" t="s">
        <v>467</v>
      </c>
      <c r="B346" s="41" t="s">
        <v>468</v>
      </c>
      <c r="C346" s="43">
        <v>8</v>
      </c>
      <c r="D346" s="43" t="s">
        <v>166</v>
      </c>
      <c r="E346" s="43" t="s">
        <v>462</v>
      </c>
      <c r="F346" s="27">
        <f t="shared" si="87"/>
        <v>28800</v>
      </c>
      <c r="G346" s="114">
        <v>340</v>
      </c>
      <c r="H346" s="57">
        <v>400</v>
      </c>
      <c r="I346" s="57"/>
      <c r="J346" s="57"/>
      <c r="K346" s="162">
        <f t="shared" si="82"/>
        <v>0</v>
      </c>
      <c r="L346" s="162">
        <f t="shared" si="83"/>
        <v>0</v>
      </c>
      <c r="M346" s="187"/>
      <c r="N346" s="64" t="s">
        <v>619</v>
      </c>
      <c r="O346" s="64"/>
      <c r="P346" s="97" t="s">
        <v>490</v>
      </c>
      <c r="Q346" s="146">
        <f t="shared" si="84"/>
        <v>28800</v>
      </c>
      <c r="R346" s="146">
        <f t="shared" si="80"/>
        <v>400</v>
      </c>
      <c r="S346" s="134"/>
      <c r="T346" s="138">
        <f t="shared" si="85"/>
        <v>0</v>
      </c>
    </row>
    <row r="347" spans="1:20" hidden="1">
      <c r="A347" s="40" t="s">
        <v>469</v>
      </c>
      <c r="B347" s="41" t="s">
        <v>470</v>
      </c>
      <c r="C347" s="43">
        <v>8</v>
      </c>
      <c r="D347" s="43" t="s">
        <v>166</v>
      </c>
      <c r="E347" s="43" t="s">
        <v>462</v>
      </c>
      <c r="F347" s="27">
        <f t="shared" si="87"/>
        <v>28800</v>
      </c>
      <c r="G347" s="114">
        <v>340</v>
      </c>
      <c r="H347" s="57">
        <v>400</v>
      </c>
      <c r="I347" s="57"/>
      <c r="J347" s="57"/>
      <c r="K347" s="162">
        <f t="shared" si="82"/>
        <v>0</v>
      </c>
      <c r="L347" s="162">
        <f t="shared" si="83"/>
        <v>0</v>
      </c>
      <c r="M347" s="187"/>
      <c r="N347" s="64" t="s">
        <v>619</v>
      </c>
      <c r="O347" s="64"/>
      <c r="P347" s="97" t="s">
        <v>490</v>
      </c>
      <c r="Q347" s="146">
        <f t="shared" si="84"/>
        <v>28800</v>
      </c>
      <c r="R347" s="146">
        <f t="shared" si="80"/>
        <v>400</v>
      </c>
      <c r="S347" s="134"/>
      <c r="T347" s="138">
        <f t="shared" si="85"/>
        <v>0</v>
      </c>
    </row>
    <row r="348" spans="1:20" hidden="1">
      <c r="A348" s="40" t="s">
        <v>471</v>
      </c>
      <c r="B348" s="41" t="s">
        <v>472</v>
      </c>
      <c r="C348" s="43">
        <v>8</v>
      </c>
      <c r="D348" s="43" t="s">
        <v>166</v>
      </c>
      <c r="E348" s="43" t="s">
        <v>462</v>
      </c>
      <c r="F348" s="27">
        <f t="shared" si="87"/>
        <v>28800</v>
      </c>
      <c r="G348" s="114">
        <v>340</v>
      </c>
      <c r="H348" s="57">
        <v>400</v>
      </c>
      <c r="I348" s="57"/>
      <c r="J348" s="57"/>
      <c r="K348" s="162">
        <f t="shared" si="82"/>
        <v>0</v>
      </c>
      <c r="L348" s="162">
        <f t="shared" si="83"/>
        <v>0</v>
      </c>
      <c r="M348" s="187"/>
      <c r="N348" s="64" t="s">
        <v>619</v>
      </c>
      <c r="O348" s="64"/>
      <c r="P348" s="97" t="s">
        <v>490</v>
      </c>
      <c r="Q348" s="146">
        <f t="shared" si="84"/>
        <v>28800</v>
      </c>
      <c r="R348" s="146">
        <f t="shared" si="80"/>
        <v>400</v>
      </c>
      <c r="S348" s="134"/>
      <c r="T348" s="138">
        <f t="shared" si="85"/>
        <v>0</v>
      </c>
    </row>
    <row r="349" spans="1:20" ht="21" hidden="1">
      <c r="A349" s="44" t="s">
        <v>473</v>
      </c>
      <c r="B349" s="45" t="s">
        <v>474</v>
      </c>
      <c r="C349" s="47">
        <v>5</v>
      </c>
      <c r="D349" s="47" t="s">
        <v>152</v>
      </c>
      <c r="E349" s="47" t="s">
        <v>667</v>
      </c>
      <c r="F349" s="27">
        <f>H349*60</f>
        <v>27200</v>
      </c>
      <c r="G349" s="114">
        <v>340</v>
      </c>
      <c r="H349" s="57">
        <f t="shared" si="81"/>
        <v>453.33333333333331</v>
      </c>
      <c r="I349" s="167">
        <v>4.4999999999999998E-2</v>
      </c>
      <c r="J349" s="168">
        <v>14.5</v>
      </c>
      <c r="K349" s="162">
        <f t="shared" si="82"/>
        <v>0</v>
      </c>
      <c r="L349" s="162">
        <f t="shared" si="83"/>
        <v>0</v>
      </c>
      <c r="M349" s="11"/>
      <c r="N349" s="64" t="s">
        <v>619</v>
      </c>
      <c r="O349" s="126" t="s">
        <v>845</v>
      </c>
      <c r="P349" s="97" t="s">
        <v>490</v>
      </c>
      <c r="Q349" s="133">
        <f t="shared" si="84"/>
        <v>27200</v>
      </c>
      <c r="R349" s="146">
        <f t="shared" si="80"/>
        <v>453.33333333333331</v>
      </c>
      <c r="S349" s="134"/>
      <c r="T349" s="138">
        <f t="shared" si="85"/>
        <v>0</v>
      </c>
    </row>
    <row r="350" spans="1:20">
      <c r="A350" s="44" t="s">
        <v>475</v>
      </c>
      <c r="B350" s="45" t="s">
        <v>476</v>
      </c>
      <c r="C350" s="47">
        <v>5</v>
      </c>
      <c r="D350" s="47" t="s">
        <v>152</v>
      </c>
      <c r="E350" s="47" t="s">
        <v>666</v>
      </c>
      <c r="F350" s="27">
        <f>H350*60</f>
        <v>27200</v>
      </c>
      <c r="G350" s="114">
        <v>340</v>
      </c>
      <c r="H350" s="57">
        <f t="shared" si="81"/>
        <v>453.33333333333331</v>
      </c>
      <c r="I350" s="57"/>
      <c r="J350" s="57"/>
      <c r="K350" s="162">
        <f t="shared" si="82"/>
        <v>0</v>
      </c>
      <c r="L350" s="162">
        <f t="shared" si="83"/>
        <v>0</v>
      </c>
      <c r="M350" s="11"/>
      <c r="N350" s="64" t="s">
        <v>619</v>
      </c>
      <c r="O350" s="64"/>
      <c r="P350" s="235" t="s">
        <v>864</v>
      </c>
      <c r="Q350" s="133">
        <f t="shared" si="84"/>
        <v>27200</v>
      </c>
      <c r="R350" s="146">
        <f t="shared" si="80"/>
        <v>453.33333333333331</v>
      </c>
      <c r="S350" s="134"/>
      <c r="T350" s="138">
        <f t="shared" si="85"/>
        <v>0</v>
      </c>
    </row>
    <row r="351" spans="1:20">
      <c r="A351" s="44" t="s">
        <v>477</v>
      </c>
      <c r="B351" s="45" t="s">
        <v>478</v>
      </c>
      <c r="C351" s="47">
        <v>8</v>
      </c>
      <c r="D351" s="47" t="s">
        <v>152</v>
      </c>
      <c r="E351" s="47" t="s">
        <v>844</v>
      </c>
      <c r="F351" s="27">
        <f>H351*44</f>
        <v>29480</v>
      </c>
      <c r="G351" s="220">
        <v>630</v>
      </c>
      <c r="H351" s="57">
        <v>670</v>
      </c>
      <c r="I351" s="167">
        <v>4.4999999999999998E-2</v>
      </c>
      <c r="J351" s="168">
        <v>19.5</v>
      </c>
      <c r="K351" s="162">
        <f t="shared" si="82"/>
        <v>0</v>
      </c>
      <c r="L351" s="162">
        <f t="shared" si="83"/>
        <v>0</v>
      </c>
      <c r="M351" s="11"/>
      <c r="N351" s="64" t="s">
        <v>619</v>
      </c>
      <c r="O351" s="64"/>
      <c r="P351" s="232" t="s">
        <v>863</v>
      </c>
      <c r="Q351" s="133">
        <f t="shared" si="84"/>
        <v>29480</v>
      </c>
      <c r="R351" s="146">
        <f t="shared" si="80"/>
        <v>670</v>
      </c>
      <c r="S351" s="134"/>
      <c r="T351" s="138">
        <f t="shared" si="85"/>
        <v>0</v>
      </c>
    </row>
    <row r="352" spans="1:20" hidden="1">
      <c r="A352" s="44" t="s">
        <v>552</v>
      </c>
      <c r="B352" s="45" t="s">
        <v>553</v>
      </c>
      <c r="C352" s="47">
        <v>5</v>
      </c>
      <c r="D352" s="47" t="s">
        <v>191</v>
      </c>
      <c r="E352" s="47" t="s">
        <v>132</v>
      </c>
      <c r="F352" s="27">
        <f>H352*24</f>
        <v>18240</v>
      </c>
      <c r="G352" s="114">
        <v>570</v>
      </c>
      <c r="H352" s="57">
        <f t="shared" si="81"/>
        <v>760</v>
      </c>
      <c r="I352" s="167">
        <v>3.4000000000000002E-2</v>
      </c>
      <c r="J352" s="168">
        <v>12.4</v>
      </c>
      <c r="K352" s="162">
        <f t="shared" si="82"/>
        <v>0</v>
      </c>
      <c r="L352" s="162">
        <f t="shared" si="83"/>
        <v>0</v>
      </c>
      <c r="M352" s="72"/>
      <c r="N352" s="64" t="s">
        <v>619</v>
      </c>
      <c r="O352" s="64"/>
      <c r="P352" s="97" t="s">
        <v>490</v>
      </c>
      <c r="Q352" s="133">
        <f t="shared" si="84"/>
        <v>18240</v>
      </c>
      <c r="R352" s="146">
        <f t="shared" si="80"/>
        <v>760</v>
      </c>
      <c r="S352" s="134"/>
      <c r="T352" s="138">
        <f t="shared" si="85"/>
        <v>0</v>
      </c>
    </row>
    <row r="353" spans="1:20">
      <c r="A353" s="44" t="s">
        <v>479</v>
      </c>
      <c r="B353" s="45" t="s">
        <v>480</v>
      </c>
      <c r="C353" s="47">
        <v>5</v>
      </c>
      <c r="D353" s="47" t="s">
        <v>191</v>
      </c>
      <c r="E353" s="47" t="s">
        <v>132</v>
      </c>
      <c r="F353" s="27">
        <f>H353*24</f>
        <v>18240</v>
      </c>
      <c r="G353" s="114">
        <v>570</v>
      </c>
      <c r="H353" s="57">
        <f t="shared" si="81"/>
        <v>760</v>
      </c>
      <c r="I353" s="57"/>
      <c r="J353" s="57"/>
      <c r="K353" s="162">
        <f t="shared" si="82"/>
        <v>0</v>
      </c>
      <c r="L353" s="162">
        <f t="shared" si="83"/>
        <v>0</v>
      </c>
      <c r="M353" s="11"/>
      <c r="N353" s="64" t="s">
        <v>619</v>
      </c>
      <c r="O353" s="64"/>
      <c r="P353" s="235" t="s">
        <v>864</v>
      </c>
      <c r="Q353" s="133">
        <f t="shared" si="84"/>
        <v>18240</v>
      </c>
      <c r="R353" s="146">
        <f t="shared" si="80"/>
        <v>760</v>
      </c>
      <c r="S353" s="134"/>
      <c r="T353" s="138">
        <f t="shared" si="85"/>
        <v>0</v>
      </c>
    </row>
    <row r="354" spans="1:20">
      <c r="A354" s="44" t="s">
        <v>554</v>
      </c>
      <c r="B354" s="45" t="s">
        <v>555</v>
      </c>
      <c r="C354" s="47">
        <v>8</v>
      </c>
      <c r="D354" s="47" t="s">
        <v>191</v>
      </c>
      <c r="E354" s="47" t="s">
        <v>132</v>
      </c>
      <c r="F354" s="27">
        <f>H354*24</f>
        <v>28008</v>
      </c>
      <c r="G354" s="114">
        <v>875</v>
      </c>
      <c r="H354" s="57">
        <v>1167</v>
      </c>
      <c r="I354" s="167">
        <v>3.9E-2</v>
      </c>
      <c r="J354" s="168">
        <v>16.7</v>
      </c>
      <c r="K354" s="162">
        <f t="shared" si="82"/>
        <v>0</v>
      </c>
      <c r="L354" s="162">
        <f t="shared" si="83"/>
        <v>0</v>
      </c>
      <c r="M354" s="72"/>
      <c r="N354" s="64" t="s">
        <v>619</v>
      </c>
      <c r="O354" s="126"/>
      <c r="P354" s="235" t="s">
        <v>864</v>
      </c>
      <c r="Q354" s="133">
        <f t="shared" si="84"/>
        <v>28008</v>
      </c>
      <c r="R354" s="146">
        <f t="shared" si="80"/>
        <v>1167</v>
      </c>
      <c r="S354" s="134"/>
      <c r="T354" s="138">
        <f t="shared" si="85"/>
        <v>0</v>
      </c>
    </row>
    <row r="355" spans="1:20" hidden="1">
      <c r="A355" s="44" t="s">
        <v>481</v>
      </c>
      <c r="B355" s="45" t="s">
        <v>482</v>
      </c>
      <c r="C355" s="47">
        <v>8</v>
      </c>
      <c r="D355" s="47" t="s">
        <v>191</v>
      </c>
      <c r="E355" s="47" t="s">
        <v>132</v>
      </c>
      <c r="F355" s="27">
        <f>H355*24</f>
        <v>27999.999999999996</v>
      </c>
      <c r="G355" s="114">
        <v>875</v>
      </c>
      <c r="H355" s="57">
        <f t="shared" si="81"/>
        <v>1166.6666666666665</v>
      </c>
      <c r="I355" s="57"/>
      <c r="J355" s="57"/>
      <c r="K355" s="162">
        <f t="shared" si="82"/>
        <v>0</v>
      </c>
      <c r="L355" s="162">
        <f t="shared" si="83"/>
        <v>0</v>
      </c>
      <c r="M355" s="11"/>
      <c r="N355" s="64" t="s">
        <v>619</v>
      </c>
      <c r="O355" s="64"/>
      <c r="P355" s="97" t="s">
        <v>490</v>
      </c>
      <c r="Q355" s="133">
        <f t="shared" si="84"/>
        <v>27999.999999999996</v>
      </c>
      <c r="R355" s="146">
        <f t="shared" si="80"/>
        <v>1166.6666666666665</v>
      </c>
      <c r="S355" s="134"/>
      <c r="T355" s="138">
        <f t="shared" si="85"/>
        <v>0</v>
      </c>
    </row>
    <row r="356" spans="1:20" ht="25.5">
      <c r="A356" s="44" t="s">
        <v>483</v>
      </c>
      <c r="B356" s="45" t="s">
        <v>484</v>
      </c>
      <c r="C356" s="47">
        <v>8</v>
      </c>
      <c r="D356" s="47" t="s">
        <v>298</v>
      </c>
      <c r="E356" s="47" t="s">
        <v>485</v>
      </c>
      <c r="F356" s="27">
        <f>H356*25</f>
        <v>37250</v>
      </c>
      <c r="G356" s="114">
        <v>1310</v>
      </c>
      <c r="H356" s="57">
        <v>1490</v>
      </c>
      <c r="I356" s="25">
        <v>6.0999999999999999E-2</v>
      </c>
      <c r="J356" s="25">
        <v>26.1</v>
      </c>
      <c r="K356" s="162">
        <f t="shared" si="82"/>
        <v>0</v>
      </c>
      <c r="L356" s="162">
        <f t="shared" si="83"/>
        <v>0</v>
      </c>
      <c r="M356" s="218"/>
      <c r="N356" s="64" t="s">
        <v>619</v>
      </c>
      <c r="O356" s="64"/>
      <c r="P356" s="232" t="s">
        <v>865</v>
      </c>
      <c r="Q356" s="133">
        <f t="shared" si="84"/>
        <v>37250</v>
      </c>
      <c r="R356" s="146">
        <f t="shared" si="80"/>
        <v>1490</v>
      </c>
      <c r="S356" s="134"/>
      <c r="T356" s="138">
        <f t="shared" si="85"/>
        <v>0</v>
      </c>
    </row>
    <row r="357" spans="1:20" ht="25.5">
      <c r="A357" s="44" t="s">
        <v>486</v>
      </c>
      <c r="B357" s="45" t="s">
        <v>732</v>
      </c>
      <c r="C357" s="47">
        <v>8</v>
      </c>
      <c r="D357" s="47" t="s">
        <v>298</v>
      </c>
      <c r="E357" s="47" t="s">
        <v>485</v>
      </c>
      <c r="F357" s="27">
        <f>H357*25</f>
        <v>37250</v>
      </c>
      <c r="G357" s="220">
        <v>1310</v>
      </c>
      <c r="H357" s="57">
        <v>1490</v>
      </c>
      <c r="I357" s="25">
        <v>6.0999999999999999E-2</v>
      </c>
      <c r="J357" s="25">
        <v>25.8</v>
      </c>
      <c r="K357" s="162">
        <f t="shared" si="82"/>
        <v>0</v>
      </c>
      <c r="L357" s="162">
        <f t="shared" si="83"/>
        <v>0</v>
      </c>
      <c r="M357" s="218"/>
      <c r="N357" s="64" t="s">
        <v>619</v>
      </c>
      <c r="O357" s="64"/>
      <c r="P357" s="232" t="s">
        <v>865</v>
      </c>
      <c r="Q357" s="133">
        <f t="shared" si="84"/>
        <v>37250</v>
      </c>
      <c r="R357" s="146">
        <f t="shared" si="80"/>
        <v>1490</v>
      </c>
      <c r="S357" s="134"/>
      <c r="T357" s="138">
        <f t="shared" si="85"/>
        <v>0</v>
      </c>
    </row>
    <row r="358" spans="1:20">
      <c r="K358" s="163">
        <f>SUBTOTAL(9,K14:K352)</f>
        <v>0</v>
      </c>
      <c r="L358" s="163">
        <f>SUBTOTAL(9,L14:L352)</f>
        <v>0</v>
      </c>
    </row>
    <row r="359" spans="1:20" ht="15.75">
      <c r="R359" s="135"/>
      <c r="S359" s="136" t="s">
        <v>795</v>
      </c>
      <c r="T359" s="142">
        <f>SUM(T13:T357,T98)</f>
        <v>0</v>
      </c>
    </row>
    <row r="360" spans="1:20">
      <c r="S360" s="164" t="s">
        <v>843</v>
      </c>
      <c r="T360" s="165">
        <f>K358</f>
        <v>0</v>
      </c>
    </row>
    <row r="361" spans="1:20">
      <c r="S361" s="164" t="s">
        <v>842</v>
      </c>
      <c r="T361" s="165">
        <f>L358</f>
        <v>0</v>
      </c>
    </row>
  </sheetData>
  <autoFilter ref="A11:P361">
    <filterColumn colId="15">
      <filters blank="1">
        <filter val="в продаже"/>
        <filter val="в продаже и ожидается поставка"/>
        <filter val="Ожидаемая дата поступления в свободную продажу"/>
        <filter val="Ожидается поставка"/>
      </filters>
    </filterColumn>
  </autoFilter>
  <mergeCells count="8">
    <mergeCell ref="Q10:R10"/>
    <mergeCell ref="T10:T11"/>
    <mergeCell ref="Q9:R9"/>
    <mergeCell ref="A2:D2"/>
    <mergeCell ref="A1:B1"/>
    <mergeCell ref="A3:C3"/>
    <mergeCell ref="A4:C4"/>
    <mergeCell ref="A5:C5"/>
  </mergeCells>
  <hyperlinks>
    <hyperlink ref="A4" r:id="rId1" display="http://www.premier-salut.ru/"/>
    <hyperlink ref="N15" r:id="rId2"/>
    <hyperlink ref="N59" r:id="rId3"/>
    <hyperlink ref="N18" r:id="rId4"/>
    <hyperlink ref="N20" r:id="rId5"/>
    <hyperlink ref="N22" r:id="rId6"/>
    <hyperlink ref="N23" r:id="rId7"/>
    <hyperlink ref="N25" r:id="rId8"/>
    <hyperlink ref="N27:N29" r:id="rId9" display="ВИДЕО"/>
    <hyperlink ref="N35" r:id="rId10"/>
    <hyperlink ref="N44" r:id="rId11"/>
    <hyperlink ref="N58" r:id="rId12"/>
    <hyperlink ref="N61" r:id="rId13"/>
    <hyperlink ref="N81:N83" r:id="rId14" display="ВИДЕО"/>
    <hyperlink ref="N27" r:id="rId15"/>
    <hyperlink ref="N29" r:id="rId16"/>
    <hyperlink ref="N32" r:id="rId17"/>
    <hyperlink ref="N34" r:id="rId18"/>
    <hyperlink ref="N37" r:id="rId19"/>
    <hyperlink ref="N40" r:id="rId20"/>
    <hyperlink ref="N41" r:id="rId21"/>
    <hyperlink ref="N43" r:id="rId22"/>
    <hyperlink ref="N49" r:id="rId23"/>
    <hyperlink ref="N57" r:id="rId24"/>
    <hyperlink ref="N63" r:id="rId25"/>
    <hyperlink ref="N65" r:id="rId26"/>
    <hyperlink ref="N66" r:id="rId27"/>
    <hyperlink ref="N73" r:id="rId28"/>
    <hyperlink ref="N74" r:id="rId29"/>
    <hyperlink ref="N81" r:id="rId30"/>
    <hyperlink ref="N82" r:id="rId31"/>
    <hyperlink ref="N83" r:id="rId32"/>
    <hyperlink ref="N16" r:id="rId33"/>
    <hyperlink ref="N13" r:id="rId34"/>
    <hyperlink ref="N76" r:id="rId35"/>
    <hyperlink ref="N70" r:id="rId36"/>
    <hyperlink ref="N67" r:id="rId37"/>
    <hyperlink ref="N64" r:id="rId38"/>
    <hyperlink ref="N62" r:id="rId39"/>
    <hyperlink ref="N56" r:id="rId40"/>
    <hyperlink ref="N51" r:id="rId41"/>
    <hyperlink ref="N50" r:id="rId42"/>
    <hyperlink ref="N45" r:id="rId43"/>
    <hyperlink ref="N38" r:id="rId44"/>
    <hyperlink ref="N36" r:id="rId45"/>
    <hyperlink ref="N30" r:id="rId46"/>
    <hyperlink ref="N28" r:id="rId47"/>
    <hyperlink ref="N26" r:id="rId48"/>
    <hyperlink ref="N21" r:id="rId49"/>
    <hyperlink ref="N19" r:id="rId50"/>
    <hyperlink ref="N89:N90" r:id="rId51" display="ВИДЕО"/>
    <hyperlink ref="N89" r:id="rId52"/>
    <hyperlink ref="N90" r:id="rId53"/>
    <hyperlink ref="N128" r:id="rId54"/>
    <hyperlink ref="N129" r:id="rId55"/>
    <hyperlink ref="N130" r:id="rId56"/>
    <hyperlink ref="N131" r:id="rId57"/>
    <hyperlink ref="N132" r:id="rId58"/>
    <hyperlink ref="N133" r:id="rId59"/>
    <hyperlink ref="N134" r:id="rId60"/>
    <hyperlink ref="N136" r:id="rId61"/>
    <hyperlink ref="N137" r:id="rId62"/>
    <hyperlink ref="N138" r:id="rId63"/>
    <hyperlink ref="N139" r:id="rId64"/>
    <hyperlink ref="N140" r:id="rId65"/>
    <hyperlink ref="N141" r:id="rId66"/>
    <hyperlink ref="N142" r:id="rId67"/>
    <hyperlink ref="N143" r:id="rId68"/>
    <hyperlink ref="N144" r:id="rId69"/>
    <hyperlink ref="N145" r:id="rId70"/>
    <hyperlink ref="N146" r:id="rId71"/>
    <hyperlink ref="N125" r:id="rId72"/>
    <hyperlink ref="N126" r:id="rId73"/>
    <hyperlink ref="N127" r:id="rId74"/>
    <hyperlink ref="N150" r:id="rId75"/>
    <hyperlink ref="N151" r:id="rId76"/>
    <hyperlink ref="N153" r:id="rId77"/>
    <hyperlink ref="N154" r:id="rId78"/>
    <hyperlink ref="N157" r:id="rId79"/>
    <hyperlink ref="N158" r:id="rId80"/>
    <hyperlink ref="N159" r:id="rId81"/>
    <hyperlink ref="N161" r:id="rId82"/>
    <hyperlink ref="N163" r:id="rId83"/>
    <hyperlink ref="N148" r:id="rId84"/>
    <hyperlink ref="N149" r:id="rId85"/>
    <hyperlink ref="N164" r:id="rId86"/>
    <hyperlink ref="N169" r:id="rId87"/>
    <hyperlink ref="N170" r:id="rId88"/>
    <hyperlink ref="N171" r:id="rId89"/>
    <hyperlink ref="N172" r:id="rId90"/>
    <hyperlink ref="N173" r:id="rId91"/>
    <hyperlink ref="N177" r:id="rId92"/>
    <hyperlink ref="N178" r:id="rId93"/>
    <hyperlink ref="N179" r:id="rId94"/>
    <hyperlink ref="N180" r:id="rId95"/>
    <hyperlink ref="N193" r:id="rId96"/>
    <hyperlink ref="N174" r:id="rId97"/>
    <hyperlink ref="N175" r:id="rId98"/>
    <hyperlink ref="N176" r:id="rId99"/>
    <hyperlink ref="N195" r:id="rId100"/>
    <hyperlink ref="N196" r:id="rId101"/>
    <hyperlink ref="N197" r:id="rId102"/>
    <hyperlink ref="N198" r:id="rId103"/>
    <hyperlink ref="N199" r:id="rId104"/>
    <hyperlink ref="N201" r:id="rId105"/>
    <hyperlink ref="N203" r:id="rId106"/>
    <hyperlink ref="N204" r:id="rId107"/>
    <hyperlink ref="N205" r:id="rId108"/>
    <hyperlink ref="N206" r:id="rId109"/>
    <hyperlink ref="N207" r:id="rId110"/>
    <hyperlink ref="N208" r:id="rId111"/>
    <hyperlink ref="N209" r:id="rId112"/>
    <hyperlink ref="N210" r:id="rId113"/>
    <hyperlink ref="N211" r:id="rId114"/>
    <hyperlink ref="N212" r:id="rId115"/>
    <hyperlink ref="N213" r:id="rId116"/>
    <hyperlink ref="N214" r:id="rId117"/>
    <hyperlink ref="N215" r:id="rId118"/>
    <hyperlink ref="N216" r:id="rId119"/>
    <hyperlink ref="N217" r:id="rId120"/>
    <hyperlink ref="N218" r:id="rId121"/>
    <hyperlink ref="N220" r:id="rId122"/>
    <hyperlink ref="N221" r:id="rId123"/>
    <hyperlink ref="N222" r:id="rId124"/>
    <hyperlink ref="N223" r:id="rId125"/>
    <hyperlink ref="N226" r:id="rId126"/>
    <hyperlink ref="N227" r:id="rId127"/>
    <hyperlink ref="N228" r:id="rId128"/>
    <hyperlink ref="N229" r:id="rId129"/>
    <hyperlink ref="N230" r:id="rId130"/>
    <hyperlink ref="N231" r:id="rId131"/>
    <hyperlink ref="N232" r:id="rId132"/>
    <hyperlink ref="N233" r:id="rId133"/>
    <hyperlink ref="N181" r:id="rId134"/>
    <hyperlink ref="N182" r:id="rId135"/>
    <hyperlink ref="N183" r:id="rId136"/>
    <hyperlink ref="N184" r:id="rId137"/>
    <hyperlink ref="N185" r:id="rId138"/>
    <hyperlink ref="N186" r:id="rId139"/>
    <hyperlink ref="N188" r:id="rId140"/>
    <hyperlink ref="N189" r:id="rId141"/>
    <hyperlink ref="N190" r:id="rId142"/>
    <hyperlink ref="N191" r:id="rId143"/>
    <hyperlink ref="N192" r:id="rId144"/>
    <hyperlink ref="N194" r:id="rId145"/>
    <hyperlink ref="N244" r:id="rId146"/>
    <hyperlink ref="N243" r:id="rId147"/>
    <hyperlink ref="N245" r:id="rId148"/>
    <hyperlink ref="N246" r:id="rId149"/>
    <hyperlink ref="N252" r:id="rId150"/>
    <hyperlink ref="N253" r:id="rId151"/>
    <hyperlink ref="N254" r:id="rId152"/>
    <hyperlink ref="N237" r:id="rId153"/>
    <hyperlink ref="N238" r:id="rId154"/>
    <hyperlink ref="N239" r:id="rId155"/>
    <hyperlink ref="N240" r:id="rId156"/>
    <hyperlink ref="N241" r:id="rId157"/>
    <hyperlink ref="N242" r:id="rId158"/>
    <hyperlink ref="N258" r:id="rId159"/>
    <hyperlink ref="N259" r:id="rId160"/>
    <hyperlink ref="N256" r:id="rId161"/>
    <hyperlink ref="N257" r:id="rId162"/>
    <hyperlink ref="N268" r:id="rId163"/>
    <hyperlink ref="N269" r:id="rId164"/>
    <hyperlink ref="N270" r:id="rId165"/>
    <hyperlink ref="N271" r:id="rId166"/>
    <hyperlink ref="N273" r:id="rId167"/>
    <hyperlink ref="N262" r:id="rId168"/>
    <hyperlink ref="N272" r:id="rId169"/>
    <hyperlink ref="N277" r:id="rId170"/>
    <hyperlink ref="N278" r:id="rId171"/>
    <hyperlink ref="N279" r:id="rId172"/>
    <hyperlink ref="N280" r:id="rId173"/>
    <hyperlink ref="N281" r:id="rId174"/>
    <hyperlink ref="N275" r:id="rId175"/>
    <hyperlink ref="N276" r:id="rId176"/>
    <hyperlink ref="N287" r:id="rId177"/>
    <hyperlink ref="N288" r:id="rId178"/>
    <hyperlink ref="N289" r:id="rId179"/>
    <hyperlink ref="N290" r:id="rId180"/>
    <hyperlink ref="N291" r:id="rId181"/>
    <hyperlink ref="N292" r:id="rId182"/>
    <hyperlink ref="N285" r:id="rId183"/>
    <hyperlink ref="N286" r:id="rId184"/>
    <hyperlink ref="N297" r:id="rId185"/>
    <hyperlink ref="N296" r:id="rId186"/>
    <hyperlink ref="N298" r:id="rId187"/>
    <hyperlink ref="N299" r:id="rId188"/>
    <hyperlink ref="N300" r:id="rId189"/>
    <hyperlink ref="N301" r:id="rId190"/>
    <hyperlink ref="N302" r:id="rId191"/>
    <hyperlink ref="N294" r:id="rId192"/>
    <hyperlink ref="N303" r:id="rId193"/>
    <hyperlink ref="N304" r:id="rId194"/>
    <hyperlink ref="N310" r:id="rId195"/>
    <hyperlink ref="N311" r:id="rId196"/>
    <hyperlink ref="N312" r:id="rId197"/>
    <hyperlink ref="N313" r:id="rId198"/>
    <hyperlink ref="N321" r:id="rId199"/>
    <hyperlink ref="N322" r:id="rId200"/>
    <hyperlink ref="N323" r:id="rId201"/>
    <hyperlink ref="N324" r:id="rId202"/>
    <hyperlink ref="N320" r:id="rId203"/>
    <hyperlink ref="N330" r:id="rId204"/>
    <hyperlink ref="N331" r:id="rId205"/>
    <hyperlink ref="N332" r:id="rId206"/>
    <hyperlink ref="N333" r:id="rId207"/>
    <hyperlink ref="N334" r:id="rId208"/>
    <hyperlink ref="N335" r:id="rId209"/>
    <hyperlink ref="N336" r:id="rId210"/>
    <hyperlink ref="N337" r:id="rId211"/>
    <hyperlink ref="N338" r:id="rId212"/>
    <hyperlink ref="N339" r:id="rId213"/>
    <hyperlink ref="N340" r:id="rId214"/>
    <hyperlink ref="N341" r:id="rId215"/>
    <hyperlink ref="N342" r:id="rId216"/>
    <hyperlink ref="N343" r:id="rId217"/>
    <hyperlink ref="N329" r:id="rId218"/>
    <hyperlink ref="N344" r:id="rId219"/>
    <hyperlink ref="N345" r:id="rId220"/>
    <hyperlink ref="N346" r:id="rId221"/>
    <hyperlink ref="N347" r:id="rId222"/>
    <hyperlink ref="N348" r:id="rId223"/>
    <hyperlink ref="N349" r:id="rId224"/>
    <hyperlink ref="N351" r:id="rId225"/>
    <hyperlink ref="N352" r:id="rId226"/>
    <hyperlink ref="N353" r:id="rId227"/>
    <hyperlink ref="N354" r:id="rId228"/>
    <hyperlink ref="N355" r:id="rId229"/>
    <hyperlink ref="N356" r:id="rId230"/>
    <hyperlink ref="N326" r:id="rId231"/>
    <hyperlink ref="N327" r:id="rId232"/>
    <hyperlink ref="N357" r:id="rId233"/>
    <hyperlink ref="N60" r:id="rId234"/>
    <hyperlink ref="N24" r:id="rId235"/>
    <hyperlink ref="N31" r:id="rId236"/>
    <hyperlink ref="N39" r:id="rId237"/>
    <hyperlink ref="N42" r:id="rId238"/>
    <hyperlink ref="N46" r:id="rId239"/>
    <hyperlink ref="N52" r:id="rId240"/>
    <hyperlink ref="N53" r:id="rId241"/>
    <hyperlink ref="N75" r:id="rId242"/>
    <hyperlink ref="N78" r:id="rId243"/>
    <hyperlink ref="N80" r:id="rId244"/>
    <hyperlink ref="N69" r:id="rId245"/>
    <hyperlink ref="N55" r:id="rId246"/>
    <hyperlink ref="N86" r:id="rId247"/>
    <hyperlink ref="N87" r:id="rId248"/>
    <hyperlink ref="N88" r:id="rId249"/>
    <hyperlink ref="N92" r:id="rId250"/>
    <hyperlink ref="N93" r:id="rId251"/>
    <hyperlink ref="N94" r:id="rId252"/>
    <hyperlink ref="N155" r:id="rId253"/>
    <hyperlink ref="N156" r:id="rId254"/>
    <hyperlink ref="N165" r:id="rId255"/>
    <hyperlink ref="N247" r:id="rId256"/>
    <hyperlink ref="N250" r:id="rId257"/>
    <hyperlink ref="N265" r:id="rId258"/>
    <hyperlink ref="N306" r:id="rId259"/>
    <hyperlink ref="N307" r:id="rId260"/>
    <hyperlink ref="N308" r:id="rId261"/>
    <hyperlink ref="N251" r:id="rId262"/>
    <hyperlink ref="N350" r:id="rId263"/>
    <hyperlink ref="N54" r:id="rId264"/>
    <hyperlink ref="N79" r:id="rId265"/>
    <hyperlink ref="N72" r:id="rId266"/>
    <hyperlink ref="N91" r:id="rId267"/>
    <hyperlink ref="N95" r:id="rId268"/>
    <hyperlink ref="N96" r:id="rId269"/>
    <hyperlink ref="N200" r:id="rId270"/>
    <hyperlink ref="N162" r:id="rId271"/>
    <hyperlink ref="N166" r:id="rId272"/>
    <hyperlink ref="N328" r:id="rId273"/>
    <hyperlink ref="N14" r:id="rId274"/>
    <hyperlink ref="N33" r:id="rId275"/>
    <hyperlink ref="N47" r:id="rId276"/>
    <hyperlink ref="N68" r:id="rId277"/>
    <hyperlink ref="N77" r:id="rId278"/>
    <hyperlink ref="N84" r:id="rId279"/>
    <hyperlink ref="N187" r:id="rId280"/>
    <hyperlink ref="N202" r:id="rId281"/>
    <hyperlink ref="N224" r:id="rId282"/>
    <hyperlink ref="N235" r:id="rId283"/>
    <hyperlink ref="N17" r:id="rId284"/>
    <hyperlink ref="N48" r:id="rId285"/>
    <hyperlink ref="N135" r:id="rId286"/>
    <hyperlink ref="N282" r:id="rId287"/>
    <hyperlink ref="N283" r:id="rId288"/>
    <hyperlink ref="N152" r:id="rId289"/>
    <hyperlink ref="N261" r:id="rId290"/>
    <hyperlink ref="N263:N264" r:id="rId291" display="видео"/>
    <hyperlink ref="N266:N267" r:id="rId292" display="видео"/>
    <hyperlink ref="N267" r:id="rId293"/>
    <hyperlink ref="N266" r:id="rId294"/>
    <hyperlink ref="N264" r:id="rId295"/>
    <hyperlink ref="N263" r:id="rId296"/>
    <hyperlink ref="N219" r:id="rId297"/>
    <hyperlink ref="O48" r:id="rId298" display="ВИДЕО"/>
    <hyperlink ref="O152" r:id="rId299"/>
    <hyperlink ref="O155" r:id="rId300"/>
    <hyperlink ref="O171" r:id="rId301"/>
    <hyperlink ref="O175" r:id="rId302"/>
    <hyperlink ref="O179" r:id="rId303"/>
    <hyperlink ref="O185" r:id="rId304"/>
    <hyperlink ref="O183" r:id="rId305"/>
    <hyperlink ref="O197" r:id="rId306"/>
    <hyperlink ref="O199" r:id="rId307"/>
    <hyperlink ref="O200" r:id="rId308"/>
    <hyperlink ref="O204" r:id="rId309"/>
    <hyperlink ref="O207" r:id="rId310"/>
    <hyperlink ref="O210" r:id="rId311"/>
    <hyperlink ref="O213" r:id="rId312"/>
    <hyperlink ref="O214" r:id="rId313"/>
    <hyperlink ref="O216" r:id="rId314"/>
    <hyperlink ref="O218" r:id="rId315"/>
    <hyperlink ref="O220" r:id="rId316"/>
    <hyperlink ref="O223" r:id="rId317"/>
    <hyperlink ref="O224" r:id="rId318"/>
    <hyperlink ref="O226" r:id="rId319"/>
    <hyperlink ref="O228" r:id="rId320"/>
    <hyperlink ref="O229" r:id="rId321"/>
    <hyperlink ref="O233" r:id="rId322"/>
    <hyperlink ref="O235" r:id="rId323"/>
    <hyperlink ref="O238" r:id="rId324"/>
    <hyperlink ref="O243" r:id="rId325"/>
    <hyperlink ref="O247" r:id="rId326"/>
    <hyperlink ref="O250" r:id="rId327"/>
    <hyperlink ref="O289" r:id="rId328"/>
    <hyperlink ref="O291" r:id="rId329"/>
    <hyperlink ref="O297" r:id="rId330"/>
    <hyperlink ref="O298" r:id="rId331"/>
    <hyperlink ref="O304" r:id="rId332"/>
    <hyperlink ref="O320" r:id="rId333"/>
    <hyperlink ref="O321" r:id="rId334"/>
    <hyperlink ref="O322" r:id="rId335"/>
    <hyperlink ref="O342" r:id="rId336"/>
    <hyperlink ref="O349" r:id="rId337"/>
    <hyperlink ref="O149" r:id="rId338"/>
    <hyperlink ref="O13:O17" r:id="rId339" display="ВИДЕО"/>
    <hyperlink ref="O24" r:id="rId340"/>
    <hyperlink ref="O29" r:id="rId341"/>
    <hyperlink ref="O35" r:id="rId342"/>
    <hyperlink ref="O37:O44" r:id="rId343" display="ВИДЕО"/>
    <hyperlink ref="O49" r:id="rId344"/>
    <hyperlink ref="O51" r:id="rId345"/>
    <hyperlink ref="O54:O59" r:id="rId346" display="ВИДЕО"/>
    <hyperlink ref="O61" r:id="rId347"/>
    <hyperlink ref="O63" r:id="rId348"/>
    <hyperlink ref="O65" r:id="rId349"/>
    <hyperlink ref="O68" r:id="rId350"/>
    <hyperlink ref="O70:O76" r:id="rId351" display="ВИДЕО"/>
    <hyperlink ref="O79" r:id="rId352"/>
    <hyperlink ref="O83:O84" r:id="rId353" display="ВИДЕО"/>
    <hyperlink ref="O86" r:id="rId354"/>
    <hyperlink ref="O88" r:id="rId355"/>
    <hyperlink ref="O91:O93" r:id="rId356" display="ВИДЕО"/>
    <hyperlink ref="O13" r:id="rId357"/>
    <hyperlink ref="O14" r:id="rId358"/>
    <hyperlink ref="O15" r:id="rId359"/>
    <hyperlink ref="O16" r:id="rId360"/>
    <hyperlink ref="O17" r:id="rId361"/>
    <hyperlink ref="O37" r:id="rId362"/>
    <hyperlink ref="O38" r:id="rId363"/>
    <hyperlink ref="O39" r:id="rId364"/>
    <hyperlink ref="O40" r:id="rId365"/>
    <hyperlink ref="O41" r:id="rId366"/>
    <hyperlink ref="O42" r:id="rId367"/>
    <hyperlink ref="O43" r:id="rId368"/>
    <hyperlink ref="O44" r:id="rId369"/>
    <hyperlink ref="O54" r:id="rId370"/>
    <hyperlink ref="O55" r:id="rId371"/>
    <hyperlink ref="O56" r:id="rId372"/>
    <hyperlink ref="O57" r:id="rId373"/>
    <hyperlink ref="O58" r:id="rId374"/>
    <hyperlink ref="O59" r:id="rId375"/>
    <hyperlink ref="O70" r:id="rId376"/>
    <hyperlink ref="O72" r:id="rId377"/>
    <hyperlink ref="O73" r:id="rId378"/>
    <hyperlink ref="O74" r:id="rId379"/>
    <hyperlink ref="O75" r:id="rId380"/>
    <hyperlink ref="O76" r:id="rId381"/>
    <hyperlink ref="O83" r:id="rId382"/>
    <hyperlink ref="O84" r:id="rId383"/>
    <hyperlink ref="O91" r:id="rId384"/>
    <hyperlink ref="O92" r:id="rId385"/>
    <hyperlink ref="O93" r:id="rId386"/>
    <hyperlink ref="N225" r:id="rId387"/>
    <hyperlink ref="O225" r:id="rId388"/>
    <hyperlink ref="N234" r:id="rId389"/>
    <hyperlink ref="N160" r:id="rId390"/>
    <hyperlink ref="O160" r:id="rId391"/>
    <hyperlink ref="N71" r:id="rId392"/>
    <hyperlink ref="O71" r:id="rId393"/>
  </hyperlinks>
  <pageMargins left="0.39370078740157483" right="0.39370078740157483" top="0.39370078740157483" bottom="0.39370078740157483" header="0.31496062992125984" footer="0.31496062992125984"/>
  <pageSetup paperSize="9" scale="51" fitToHeight="10" orientation="portrait" r:id="rId394"/>
  <rowBreaks count="1" manualBreakCount="1">
    <brk id="93" max="16383" man="1"/>
  </rowBreaks>
  <ignoredErrors>
    <ignoredError sqref="A286:A288" numberStoredAsText="1"/>
  </ignoredErrors>
  <drawing r:id="rId395"/>
  <legacyDrawing r:id="rId3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vkirsanov</dc:creator>
  <cp:lastModifiedBy>User</cp:lastModifiedBy>
  <cp:lastPrinted>2022-07-05T17:23:07Z</cp:lastPrinted>
  <dcterms:created xsi:type="dcterms:W3CDTF">2015-10-14T17:20:11Z</dcterms:created>
  <dcterms:modified xsi:type="dcterms:W3CDTF">2024-11-13T10:01:53Z</dcterms:modified>
</cp:coreProperties>
</file>